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680" firstSheet="2" activeTab="7"/>
  </bookViews>
  <sheets>
    <sheet name="Income" sheetId="1" r:id="rId1"/>
    <sheet name="Expenditure" sheetId="2" r:id="rId2"/>
    <sheet name="Reconciliation" sheetId="3" r:id="rId3"/>
    <sheet name="Budget Analysis" sheetId="4" r:id="rId4"/>
    <sheet name="Asset Register" sheetId="13" r:id="rId5"/>
    <sheet name="External Audit Form" sheetId="6" r:id="rId6"/>
    <sheet name="Line 3" sheetId="7" r:id="rId7"/>
    <sheet name="Line 4" sheetId="9" r:id="rId8"/>
    <sheet name="Line 6" sheetId="8" r:id="rId9"/>
    <sheet name="Line 7" sheetId="10" r:id="rId10"/>
    <sheet name="VAT" sheetId="12" r:id="rId11"/>
    <sheet name="Sheet1" sheetId="11" r:id="rId12"/>
  </sheets>
  <definedNames>
    <definedName name="_xlnm.Print_Area" localSheetId="3">'Budget Analysis'!$A$1:$H$27</definedName>
    <definedName name="_xlnm.Print_Area" localSheetId="1">Expenditure!$A$1:$S$51</definedName>
    <definedName name="_xlnm.Print_Area" localSheetId="5">'External Audit Form'!$A$1:$E$12</definedName>
    <definedName name="_xlnm.Print_Area" localSheetId="0">Income!$A$1:$I$9</definedName>
    <definedName name="_xlnm.Print_Area" localSheetId="6">'Line 3'!$B$1:$F$13</definedName>
    <definedName name="_xlnm.Print_Area" localSheetId="7">'Line 4'!$B$1:$J$5</definedName>
    <definedName name="_xlnm.Print_Area" localSheetId="8">'Line 6'!$B$1:$K$17</definedName>
    <definedName name="_xlnm.Print_Area" localSheetId="9">'Line 7'!$B$1:$I$15</definedName>
    <definedName name="_xlnm.Print_Area" localSheetId="10">VAT!$A$1:$N$8</definedName>
  </definedNames>
  <calcPr calcId="125725"/>
</workbook>
</file>

<file path=xl/calcChain.xml><?xml version="1.0" encoding="utf-8"?>
<calcChain xmlns="http://schemas.openxmlformats.org/spreadsheetml/2006/main">
  <c r="B20" i="3"/>
  <c r="H7" i="6"/>
  <c r="H5"/>
  <c r="H4"/>
  <c r="H3"/>
  <c r="G3"/>
  <c r="L8" i="12"/>
  <c r="D9" i="10"/>
  <c r="E9"/>
  <c r="G9"/>
  <c r="G13" s="1"/>
  <c r="C9"/>
  <c r="H4"/>
  <c r="H5"/>
  <c r="H8"/>
  <c r="H3"/>
  <c r="D9" i="4"/>
  <c r="G51" i="2"/>
  <c r="H51"/>
  <c r="I51"/>
  <c r="J51"/>
  <c r="K51"/>
  <c r="L51"/>
  <c r="M51"/>
  <c r="N51"/>
  <c r="O51"/>
  <c r="P51"/>
  <c r="R51"/>
  <c r="F51"/>
  <c r="Q44"/>
  <c r="E13" i="8" s="1"/>
  <c r="Q45" i="2"/>
  <c r="S45" s="1"/>
  <c r="U51" s="1"/>
  <c r="Q46"/>
  <c r="S46" s="1"/>
  <c r="Q47"/>
  <c r="S47" s="1"/>
  <c r="Q48"/>
  <c r="S48" s="1"/>
  <c r="Q49"/>
  <c r="S49" s="1"/>
  <c r="Q50"/>
  <c r="S50" s="1"/>
  <c r="O50"/>
  <c r="E15" i="8"/>
  <c r="D3" i="9"/>
  <c r="G15" i="10" l="1"/>
  <c r="G14"/>
  <c r="S44" i="2"/>
  <c r="E13" i="7"/>
  <c r="D13"/>
  <c r="C13"/>
  <c r="E12"/>
  <c r="E11"/>
  <c r="E8"/>
  <c r="E7"/>
  <c r="E4"/>
  <c r="D5" i="6"/>
  <c r="C8" i="4"/>
  <c r="F9" i="1"/>
  <c r="G9"/>
  <c r="H9"/>
  <c r="I9"/>
  <c r="E9"/>
  <c r="I8"/>
  <c r="D13" i="4"/>
  <c r="D11"/>
  <c r="E4" i="8"/>
  <c r="E5"/>
  <c r="E6"/>
  <c r="E7"/>
  <c r="E8"/>
  <c r="E9"/>
  <c r="E14"/>
  <c r="E16"/>
  <c r="Q43" i="2"/>
  <c r="S43" s="1"/>
  <c r="Q36"/>
  <c r="S36" s="1"/>
  <c r="Q37"/>
  <c r="S37" s="1"/>
  <c r="Q38"/>
  <c r="S38" s="1"/>
  <c r="Q39"/>
  <c r="S39" s="1"/>
  <c r="Q40"/>
  <c r="S40" s="1"/>
  <c r="Q41"/>
  <c r="S41" s="1"/>
  <c r="Q42"/>
  <c r="D19" i="4" s="1"/>
  <c r="E19" s="1"/>
  <c r="Q35" i="2"/>
  <c r="S35" s="1"/>
  <c r="Q34"/>
  <c r="S34" s="1"/>
  <c r="C18" i="4"/>
  <c r="C22"/>
  <c r="E9"/>
  <c r="C13"/>
  <c r="I4" i="1"/>
  <c r="I5"/>
  <c r="I6"/>
  <c r="I7"/>
  <c r="D3" i="6"/>
  <c r="S42" i="2" l="1"/>
  <c r="E13" i="4"/>
  <c r="D8"/>
  <c r="E8" s="1"/>
  <c r="D10"/>
  <c r="Q28" i="2"/>
  <c r="Q29"/>
  <c r="S29" s="1"/>
  <c r="Q30"/>
  <c r="D15" i="4" s="1"/>
  <c r="Q31" i="2"/>
  <c r="S31" s="1"/>
  <c r="Q32"/>
  <c r="S32" s="1"/>
  <c r="Q33"/>
  <c r="S33" s="1"/>
  <c r="Q22"/>
  <c r="S22" s="1"/>
  <c r="Q23"/>
  <c r="S23" s="1"/>
  <c r="Q25"/>
  <c r="S25" s="1"/>
  <c r="Q26"/>
  <c r="S26" s="1"/>
  <c r="Q27"/>
  <c r="S27" s="1"/>
  <c r="O24"/>
  <c r="F24"/>
  <c r="Q19"/>
  <c r="S19" s="1"/>
  <c r="Q20"/>
  <c r="S20" s="1"/>
  <c r="Q21"/>
  <c r="S21" s="1"/>
  <c r="Q17"/>
  <c r="S17" s="1"/>
  <c r="Q18"/>
  <c r="S18" s="1"/>
  <c r="C21" i="4"/>
  <c r="S28" i="2" l="1"/>
  <c r="S51" s="1"/>
  <c r="Q51"/>
  <c r="Q24"/>
  <c r="S24" s="1"/>
  <c r="S30"/>
  <c r="E21" i="4"/>
  <c r="F21"/>
  <c r="F3" i="10"/>
  <c r="F5" i="4"/>
  <c r="E5"/>
  <c r="E7"/>
  <c r="D6"/>
  <c r="E6" s="1"/>
  <c r="D18"/>
  <c r="D26"/>
  <c r="Q11" i="2"/>
  <c r="S11" s="1"/>
  <c r="Q12"/>
  <c r="S12" s="1"/>
  <c r="Q13"/>
  <c r="S13" s="1"/>
  <c r="Q14"/>
  <c r="S14" s="1"/>
  <c r="Q15"/>
  <c r="S15" s="1"/>
  <c r="D20" i="4" s="1"/>
  <c r="Q16" i="2"/>
  <c r="S16" s="1"/>
  <c r="I3" i="1"/>
  <c r="G4" i="6" l="1"/>
  <c r="G5" s="1"/>
  <c r="G7" s="1"/>
  <c r="E3" i="9"/>
  <c r="D6" i="6"/>
  <c r="D4" i="4"/>
  <c r="F4" s="1"/>
  <c r="F6" i="10"/>
  <c r="E18" i="4"/>
  <c r="F6"/>
  <c r="O62" i="2"/>
  <c r="Q7"/>
  <c r="S7" s="1"/>
  <c r="Q8"/>
  <c r="S8" s="1"/>
  <c r="Q9"/>
  <c r="S9" s="1"/>
  <c r="Q10"/>
  <c r="S10" s="1"/>
  <c r="C14" i="13"/>
  <c r="H13"/>
  <c r="H12"/>
  <c r="H11"/>
  <c r="H10"/>
  <c r="H9"/>
  <c r="H8"/>
  <c r="H14" s="1"/>
  <c r="I2" i="1"/>
  <c r="F7" i="4"/>
  <c r="F8"/>
  <c r="F9"/>
  <c r="F10"/>
  <c r="F11"/>
  <c r="F13"/>
  <c r="F14"/>
  <c r="F15"/>
  <c r="E10"/>
  <c r="E11"/>
  <c r="E12"/>
  <c r="E14"/>
  <c r="E15"/>
  <c r="E16"/>
  <c r="E17"/>
  <c r="Q3" i="2"/>
  <c r="S3" s="1"/>
  <c r="Q4"/>
  <c r="S4" s="1"/>
  <c r="Q5"/>
  <c r="S5" s="1"/>
  <c r="Q6"/>
  <c r="S6" s="1"/>
  <c r="Q2"/>
  <c r="D15" i="10"/>
  <c r="E4"/>
  <c r="E5"/>
  <c r="E7"/>
  <c r="C5" i="9"/>
  <c r="E3" i="10"/>
  <c r="C17" i="8"/>
  <c r="H6" i="10" l="1"/>
  <c r="E4" i="9"/>
  <c r="E12" i="8" s="1"/>
  <c r="E17" s="1"/>
  <c r="G17" s="1"/>
  <c r="H17" s="1"/>
  <c r="E4" i="4"/>
  <c r="F7" i="10"/>
  <c r="H7" s="1"/>
  <c r="D4" i="6"/>
  <c r="E20" i="4"/>
  <c r="S2" i="2"/>
  <c r="D17" i="8"/>
  <c r="H9" i="10" l="1"/>
  <c r="H14" s="1"/>
  <c r="I14" s="1"/>
  <c r="F9"/>
  <c r="B11" i="3"/>
  <c r="E5" i="9"/>
  <c r="F5" s="1"/>
  <c r="G5" s="1"/>
  <c r="C23" i="4"/>
  <c r="E23" s="1"/>
  <c r="B6" i="3"/>
  <c r="B8" s="1"/>
  <c r="E4" i="6"/>
  <c r="E11"/>
  <c r="F14" i="10" l="1"/>
  <c r="F13"/>
  <c r="D8" i="6"/>
  <c r="E5"/>
  <c r="B24" i="4"/>
  <c r="F15" i="10" l="1"/>
  <c r="H13"/>
  <c r="E6" i="6"/>
  <c r="H15" i="10" l="1"/>
  <c r="I15" s="1"/>
  <c r="I13"/>
  <c r="E6"/>
  <c r="D24" i="4"/>
  <c r="D5" i="9"/>
  <c r="E14" i="10" l="1"/>
  <c r="E15" s="1"/>
  <c r="E8" i="6"/>
  <c r="E26" i="4" l="1"/>
  <c r="D27"/>
  <c r="B19" i="3"/>
  <c r="B21" s="1"/>
  <c r="D10" i="6" l="1"/>
  <c r="E10" s="1"/>
  <c r="D9"/>
  <c r="E9" s="1"/>
  <c r="C24" i="4"/>
  <c r="C27" s="1"/>
  <c r="B10" i="3"/>
  <c r="B12" s="1"/>
  <c r="F23" i="4"/>
  <c r="E24"/>
  <c r="E27" s="1"/>
</calcChain>
</file>

<file path=xl/sharedStrings.xml><?xml version="1.0" encoding="utf-8"?>
<sst xmlns="http://schemas.openxmlformats.org/spreadsheetml/2006/main" count="354" uniqueCount="195">
  <si>
    <t>Date</t>
  </si>
  <si>
    <t>From</t>
  </si>
  <si>
    <t>In Respect of</t>
  </si>
  <si>
    <t>Total £</t>
  </si>
  <si>
    <t>Other £</t>
  </si>
  <si>
    <t>War Memorial £</t>
  </si>
  <si>
    <t>General Administration £</t>
  </si>
  <si>
    <t>Precept</t>
  </si>
  <si>
    <t>Total for Year</t>
  </si>
  <si>
    <t>Invoice Reference</t>
  </si>
  <si>
    <t>Document Reference</t>
  </si>
  <si>
    <t>Payable To</t>
  </si>
  <si>
    <t>Petty Cash</t>
  </si>
  <si>
    <t>Total</t>
  </si>
  <si>
    <t>Clerk's Salary £</t>
  </si>
  <si>
    <t>Audit Fees £</t>
  </si>
  <si>
    <t>Insurance £</t>
  </si>
  <si>
    <t>Total Net of VAT £</t>
  </si>
  <si>
    <t>VAT £</t>
  </si>
  <si>
    <t>Subscriptions £</t>
  </si>
  <si>
    <t>Barclays Bank</t>
  </si>
  <si>
    <t>Represented by</t>
  </si>
  <si>
    <t>Item</t>
  </si>
  <si>
    <t>Net £</t>
  </si>
  <si>
    <t>Income £</t>
  </si>
  <si>
    <t>Expenditure £</t>
  </si>
  <si>
    <t>Figures are net of VAT</t>
  </si>
  <si>
    <t>VAT Refund</t>
  </si>
  <si>
    <t xml:space="preserve">Clerk's Salary </t>
  </si>
  <si>
    <t xml:space="preserve">Subscriptions </t>
  </si>
  <si>
    <t xml:space="preserve">Audit Fees </t>
  </si>
  <si>
    <t xml:space="preserve">Insurance </t>
  </si>
  <si>
    <t xml:space="preserve">War Memorial </t>
  </si>
  <si>
    <t xml:space="preserve">Other </t>
  </si>
  <si>
    <t>VAT Regn No,</t>
  </si>
  <si>
    <t>Less Uncashed Cheques</t>
  </si>
  <si>
    <t>VAT</t>
  </si>
  <si>
    <t>Information Commissioner</t>
  </si>
  <si>
    <t>Totals net of VAT</t>
  </si>
  <si>
    <t>Totals inc VAT</t>
  </si>
  <si>
    <t>Asset Register</t>
  </si>
  <si>
    <t>Village Green</t>
  </si>
  <si>
    <t>Date of Acquisition</t>
  </si>
  <si>
    <t>Basis of Valuation</t>
  </si>
  <si>
    <t>Value</t>
  </si>
  <si>
    <t xml:space="preserve">First Registered </t>
  </si>
  <si>
    <t>Village Sign</t>
  </si>
  <si>
    <t>Noticeboard</t>
  </si>
  <si>
    <t>Cost at time of purchase</t>
  </si>
  <si>
    <t>Circular Teak seat</t>
  </si>
  <si>
    <t>Donated Jan 2013</t>
  </si>
  <si>
    <t>Original puchase price</t>
  </si>
  <si>
    <t>Village green registration</t>
  </si>
  <si>
    <t>Queen Elizabeth Silver Jubilee Sign</t>
  </si>
  <si>
    <t>Estimate</t>
  </si>
  <si>
    <t>Traditional seat with arms</t>
  </si>
  <si>
    <t>unknown</t>
  </si>
  <si>
    <t>Renewal price 2012</t>
  </si>
  <si>
    <t>Budget</t>
  </si>
  <si>
    <t>£</t>
  </si>
  <si>
    <t>%age Budget Spend</t>
  </si>
  <si>
    <t>Grass Cutting</t>
  </si>
  <si>
    <t>Notes</t>
  </si>
  <si>
    <t>Hall Hire</t>
  </si>
  <si>
    <t>Election Fees</t>
  </si>
  <si>
    <t>Add Income for year</t>
  </si>
  <si>
    <t>Less Expenditure for year</t>
  </si>
  <si>
    <t>2015/16</t>
  </si>
  <si>
    <t>Elections £</t>
  </si>
  <si>
    <t>Information Commissioner £</t>
  </si>
  <si>
    <t>Purchase price 2015</t>
  </si>
  <si>
    <t>Balances Brought Forward</t>
  </si>
  <si>
    <t>Annual Precept</t>
  </si>
  <si>
    <t>Total Other Receipts</t>
  </si>
  <si>
    <t>Staff Costs</t>
  </si>
  <si>
    <t>Loan Interest/Capital Repayments</t>
  </si>
  <si>
    <t>All Other Payments</t>
  </si>
  <si>
    <t>Balances Carried Forward</t>
  </si>
  <si>
    <t>Total Cash &amp; Short Term Investments</t>
  </si>
  <si>
    <t>Total Fixed Assets Plus Other Long Term Investments</t>
  </si>
  <si>
    <t>Total Borrowings</t>
  </si>
  <si>
    <t>Percentage Variation</t>
  </si>
  <si>
    <t>Remembrance Day Parade</t>
  </si>
  <si>
    <t>Transparency Grant</t>
  </si>
  <si>
    <t>G N Mussett</t>
  </si>
  <si>
    <t>Clerk's Salary</t>
  </si>
  <si>
    <t>EALC</t>
  </si>
  <si>
    <t>2016/17</t>
  </si>
  <si>
    <t>AON</t>
  </si>
  <si>
    <t>Insurance Premium</t>
  </si>
  <si>
    <t>IE6410804G</t>
  </si>
  <si>
    <t>Transparency Fund £</t>
  </si>
  <si>
    <t>Transparency Fund</t>
  </si>
  <si>
    <t>HP 15.6 Laptop</t>
  </si>
  <si>
    <t>HP Envy Wifi Printer</t>
  </si>
  <si>
    <t>Village Fete £</t>
  </si>
  <si>
    <t>Parish Plan £</t>
  </si>
  <si>
    <t>Parish Plan</t>
  </si>
  <si>
    <t>Village Fete</t>
  </si>
  <si>
    <t>War Memorial</t>
  </si>
  <si>
    <t>ADDED JUNE 2016</t>
  </si>
  <si>
    <t>Restricted funds</t>
  </si>
  <si>
    <t>H Bendall</t>
  </si>
  <si>
    <t>Litterpicking</t>
  </si>
  <si>
    <t>Litter Picking £</t>
  </si>
  <si>
    <t>Purchase price 2016</t>
  </si>
  <si>
    <t>Defibrillator</t>
  </si>
  <si>
    <t>As at 31/03/17</t>
  </si>
  <si>
    <t>Best Village Sign 2015</t>
  </si>
  <si>
    <t>Contribution towards War Memorial</t>
  </si>
  <si>
    <t xml:space="preserve">2015/16 </t>
  </si>
  <si>
    <t>Prize Best Kept Village</t>
  </si>
  <si>
    <t>One-off project funding</t>
  </si>
  <si>
    <t xml:space="preserve">Elections </t>
  </si>
  <si>
    <t xml:space="preserve">Information Commissioner </t>
  </si>
  <si>
    <t xml:space="preserve">Transparency Fund </t>
  </si>
  <si>
    <t xml:space="preserve">Parish Plan </t>
  </si>
  <si>
    <t xml:space="preserve">Village Fete </t>
  </si>
  <si>
    <t xml:space="preserve">Litter Picking </t>
  </si>
  <si>
    <t>Litter-pickers's Salary &amp; PAYE/NI</t>
  </si>
  <si>
    <t>Clerk's Salary &amp; PAYE/NI</t>
  </si>
  <si>
    <t>Income</t>
  </si>
  <si>
    <t>Expenditure in 2016/17</t>
  </si>
  <si>
    <t>Restricted Funds Carried forward into 2017/18</t>
  </si>
  <si>
    <t>BANK RECONCILIATION</t>
  </si>
  <si>
    <t>Document reference</t>
  </si>
  <si>
    <t>Pirchase price 2017</t>
  </si>
  <si>
    <t>Line 7</t>
  </si>
  <si>
    <t>Line 3</t>
  </si>
  <si>
    <t>Line 4</t>
  </si>
  <si>
    <t>Line 6</t>
  </si>
  <si>
    <t>Reserves</t>
  </si>
  <si>
    <t>As at 31/3/16</t>
  </si>
  <si>
    <t>As at 31/3/17</t>
  </si>
  <si>
    <t>General reserves</t>
  </si>
  <si>
    <t>EXTERNAL AUDIT FORM</t>
  </si>
  <si>
    <t>Annual Subs</t>
  </si>
  <si>
    <t>McAfee</t>
  </si>
  <si>
    <t>Virus Check Renewal</t>
  </si>
  <si>
    <t>2017/18</t>
  </si>
  <si>
    <t>Maldon District Council</t>
  </si>
  <si>
    <t>Community Asset</t>
  </si>
  <si>
    <t>Barriers</t>
  </si>
  <si>
    <t>SALC</t>
  </si>
  <si>
    <t>Internal Audit</t>
  </si>
  <si>
    <t>825 0232 65</t>
  </si>
  <si>
    <t>Cash</t>
  </si>
  <si>
    <t>Post Office</t>
  </si>
  <si>
    <t>Stamp</t>
  </si>
  <si>
    <t>HMRC</t>
  </si>
  <si>
    <t>PAYE/NI</t>
  </si>
  <si>
    <t>Litterpicking Warning Sign</t>
  </si>
  <si>
    <t>900 3466 61</t>
  </si>
  <si>
    <t>A Stow</t>
  </si>
  <si>
    <t>Installation of Defibrillator Cabinet</t>
  </si>
  <si>
    <t>Housing Needs Survey</t>
  </si>
  <si>
    <t>The Green Man</t>
  </si>
  <si>
    <t>Electricity for Defibrillator Cabinet</t>
  </si>
  <si>
    <t>Expenditure in 2017/18</t>
  </si>
  <si>
    <t>BUDGET ANALYSIS</t>
  </si>
  <si>
    <t>Cancelled</t>
  </si>
  <si>
    <t>Royal British Legion</t>
  </si>
  <si>
    <t>Wreath</t>
  </si>
  <si>
    <t>Road Closure Notice</t>
  </si>
  <si>
    <t>J Aldis</t>
  </si>
  <si>
    <t>Grasscutting</t>
  </si>
  <si>
    <t>Training Course</t>
  </si>
  <si>
    <t>Money in reserves to offset this spend</t>
  </si>
  <si>
    <t>Great Braxted Parish Council</t>
  </si>
  <si>
    <t>War Memorial Upkeep</t>
  </si>
  <si>
    <t>Essex Community Foundation</t>
  </si>
  <si>
    <t>Litterpicking Grant</t>
  </si>
  <si>
    <t>Neighbourhood Watch Meetings Grant</t>
  </si>
  <si>
    <t>Course Bursary Refund</t>
  </si>
  <si>
    <t>Neighbourhood Watch Meetings</t>
  </si>
  <si>
    <t>Neighbourhood Watch</t>
  </si>
  <si>
    <t>Megabrokers</t>
  </si>
  <si>
    <t>Speedy Hire</t>
  </si>
  <si>
    <t>Drill Hire</t>
  </si>
  <si>
    <t>Litterpickers</t>
  </si>
  <si>
    <t>RCCE</t>
  </si>
  <si>
    <t>The Braxted Bakery</t>
  </si>
  <si>
    <t>Wickham Bishops Parish Council</t>
  </si>
  <si>
    <t>Project funding to continue to 2020 (3 years funding in advance</t>
  </si>
  <si>
    <t>Training Bursary</t>
  </si>
  <si>
    <t>Project funding - bid to continue to 2020 has been succesful</t>
  </si>
  <si>
    <t>ICO Registration</t>
  </si>
  <si>
    <t>First full year of employment (2016/17 part-year)</t>
  </si>
  <si>
    <t>One-off grant</t>
  </si>
  <si>
    <t>Noticeboard - £82.79 andTraining Course - £45.00 are additional items in 2017/18</t>
  </si>
  <si>
    <t>Increase due to increased income in 2016/17 moving charge to higher band</t>
  </si>
  <si>
    <t>New Income in 2017/18</t>
  </si>
  <si>
    <t>As at 31/03/18</t>
  </si>
  <si>
    <t>Balance s at Year End</t>
  </si>
  <si>
    <t>As at 31/3/18</t>
  </si>
</sst>
</file>

<file path=xl/styles.xml><?xml version="1.0" encoding="utf-8"?>
<styleSheet xmlns="http://schemas.openxmlformats.org/spreadsheetml/2006/main">
  <numFmts count="4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44" fontId="1" fillId="0" borderId="0" xfId="0" applyNumberFormat="1" applyFont="1"/>
    <xf numFmtId="4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4" fontId="3" fillId="0" borderId="0" xfId="0" applyNumberFormat="1" applyFont="1"/>
    <xf numFmtId="44" fontId="4" fillId="0" borderId="0" xfId="0" applyNumberFormat="1" applyFont="1"/>
    <xf numFmtId="0" fontId="0" fillId="0" borderId="0" xfId="0" applyFont="1" applyAlignment="1">
      <alignment wrapText="1"/>
    </xf>
    <xf numFmtId="44" fontId="0" fillId="0" borderId="0" xfId="0" applyNumberFormat="1" applyFont="1"/>
    <xf numFmtId="14" fontId="0" fillId="0" borderId="0" xfId="0" applyNumberFormat="1" applyFont="1" applyAlignment="1">
      <alignment wrapText="1"/>
    </xf>
    <xf numFmtId="42" fontId="0" fillId="0" borderId="0" xfId="0" applyNumberForma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9" fontId="0" fillId="0" borderId="0" xfId="0" applyNumberFormat="1"/>
    <xf numFmtId="42" fontId="4" fillId="0" borderId="0" xfId="0" applyNumberFormat="1" applyFont="1"/>
    <xf numFmtId="44" fontId="0" fillId="0" borderId="0" xfId="0" applyNumberFormat="1" applyFont="1" applyAlignment="1">
      <alignment wrapText="1"/>
    </xf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164" fontId="0" fillId="0" borderId="0" xfId="0" applyNumberFormat="1"/>
    <xf numFmtId="44" fontId="3" fillId="0" borderId="0" xfId="0" applyNumberFormat="1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42" fontId="0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2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44" fontId="0" fillId="0" borderId="0" xfId="0" applyNumberFormat="1" applyFill="1"/>
    <xf numFmtId="6" fontId="0" fillId="0" borderId="0" xfId="0" applyNumberFormat="1" applyFont="1" applyAlignment="1">
      <alignment wrapText="1"/>
    </xf>
    <xf numFmtId="44" fontId="3" fillId="0" borderId="0" xfId="0" applyNumberFormat="1" applyFont="1" applyFill="1"/>
    <xf numFmtId="44" fontId="4" fillId="0" borderId="0" xfId="0" applyNumberFormat="1" applyFont="1" applyFill="1"/>
    <xf numFmtId="0" fontId="0" fillId="0" borderId="0" xfId="0" applyAlignment="1">
      <alignment vertical="top" wrapText="1"/>
    </xf>
    <xf numFmtId="44" fontId="0" fillId="0" borderId="0" xfId="0" applyNumberFormat="1" applyAlignment="1">
      <alignment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44" fontId="0" fillId="0" borderId="0" xfId="0" applyNumberFormat="1" applyFill="1" applyAlignment="1">
      <alignment vertical="top"/>
    </xf>
    <xf numFmtId="10" fontId="0" fillId="0" borderId="0" xfId="0" applyNumberFormat="1"/>
    <xf numFmtId="42" fontId="0" fillId="0" borderId="0" xfId="0" applyNumberFormat="1" applyFill="1" applyAlignment="1">
      <alignment vertical="top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I9" sqref="A1:I9"/>
    </sheetView>
  </sheetViews>
  <sheetFormatPr defaultRowHeight="15"/>
  <cols>
    <col min="1" max="1" width="16.5703125" customWidth="1"/>
    <col min="2" max="2" width="11.42578125" customWidth="1"/>
    <col min="3" max="3" width="19" style="1" customWidth="1"/>
    <col min="4" max="4" width="15.5703125" style="1" customWidth="1"/>
    <col min="5" max="5" width="15.85546875" customWidth="1"/>
    <col min="6" max="8" width="11.28515625" customWidth="1"/>
    <col min="9" max="9" width="10.5703125" bestFit="1" customWidth="1"/>
  </cols>
  <sheetData>
    <row r="1" spans="1:9" s="5" customFormat="1" ht="30">
      <c r="A1" s="5" t="s">
        <v>0</v>
      </c>
      <c r="B1" s="5" t="s">
        <v>125</v>
      </c>
      <c r="C1" s="5" t="s">
        <v>1</v>
      </c>
      <c r="D1" s="5" t="s">
        <v>2</v>
      </c>
      <c r="E1" s="5" t="s">
        <v>6</v>
      </c>
      <c r="F1" s="5" t="s">
        <v>5</v>
      </c>
      <c r="G1" s="5" t="s">
        <v>4</v>
      </c>
      <c r="H1" s="5" t="s">
        <v>18</v>
      </c>
      <c r="I1" s="5" t="s">
        <v>3</v>
      </c>
    </row>
    <row r="2" spans="1:9" s="12" customFormat="1" ht="30">
      <c r="A2" s="14">
        <v>42853</v>
      </c>
      <c r="B2" s="1"/>
      <c r="C2" s="1" t="s">
        <v>140</v>
      </c>
      <c r="D2" s="1" t="s">
        <v>7</v>
      </c>
      <c r="E2" s="3">
        <v>3125</v>
      </c>
      <c r="I2" s="13">
        <f>SUM(E2:H2)</f>
        <v>3125</v>
      </c>
    </row>
    <row r="3" spans="1:9" s="12" customFormat="1">
      <c r="A3" s="14">
        <v>42857</v>
      </c>
      <c r="B3" s="1"/>
      <c r="C3" s="1" t="s">
        <v>149</v>
      </c>
      <c r="D3" s="1" t="s">
        <v>27</v>
      </c>
      <c r="E3" s="3"/>
      <c r="H3" s="3">
        <v>553.66999999999996</v>
      </c>
      <c r="I3" s="13">
        <f>SUM(E3:H3)</f>
        <v>553.66999999999996</v>
      </c>
    </row>
    <row r="4" spans="1:9" s="12" customFormat="1" ht="30">
      <c r="A4" s="14">
        <v>43084</v>
      </c>
      <c r="B4" s="1"/>
      <c r="C4" s="1" t="s">
        <v>86</v>
      </c>
      <c r="D4" s="1" t="s">
        <v>173</v>
      </c>
      <c r="E4" s="3"/>
      <c r="G4" s="3">
        <v>33.75</v>
      </c>
      <c r="H4" s="3"/>
      <c r="I4" s="13">
        <f>SUM(E4:H4)</f>
        <v>33.75</v>
      </c>
    </row>
    <row r="5" spans="1:9" s="12" customFormat="1" ht="30">
      <c r="A5" s="14">
        <v>43090</v>
      </c>
      <c r="B5" s="1"/>
      <c r="C5" s="1" t="s">
        <v>168</v>
      </c>
      <c r="D5" s="1" t="s">
        <v>169</v>
      </c>
      <c r="E5" s="3"/>
      <c r="F5" s="3">
        <v>50.58</v>
      </c>
      <c r="G5" s="3"/>
      <c r="H5" s="3"/>
      <c r="I5" s="13">
        <f t="shared" ref="I5:I8" si="0">SUM(E5:H5)</f>
        <v>50.58</v>
      </c>
    </row>
    <row r="6" spans="1:9" s="12" customFormat="1" ht="30">
      <c r="A6" s="14">
        <v>43090</v>
      </c>
      <c r="B6" s="1"/>
      <c r="C6" s="1" t="s">
        <v>170</v>
      </c>
      <c r="D6" s="1" t="s">
        <v>171</v>
      </c>
      <c r="E6" s="3"/>
      <c r="F6" s="3"/>
      <c r="G6" s="3">
        <v>2460</v>
      </c>
      <c r="H6" s="3"/>
      <c r="I6" s="13">
        <f t="shared" si="0"/>
        <v>2460</v>
      </c>
    </row>
    <row r="7" spans="1:9" s="12" customFormat="1" ht="45">
      <c r="A7" s="14">
        <v>43097</v>
      </c>
      <c r="B7" s="1"/>
      <c r="C7" s="1" t="s">
        <v>170</v>
      </c>
      <c r="D7" s="1" t="s">
        <v>172</v>
      </c>
      <c r="E7" s="3"/>
      <c r="F7" s="3"/>
      <c r="G7" s="3">
        <v>972</v>
      </c>
      <c r="H7" s="3"/>
      <c r="I7" s="13">
        <f t="shared" si="0"/>
        <v>972</v>
      </c>
    </row>
    <row r="8" spans="1:9" s="12" customFormat="1" ht="30">
      <c r="A8" s="14">
        <v>43112</v>
      </c>
      <c r="B8" s="1"/>
      <c r="C8" s="1" t="s">
        <v>182</v>
      </c>
      <c r="D8" s="1" t="s">
        <v>169</v>
      </c>
      <c r="E8" s="3"/>
      <c r="F8" s="3">
        <v>280.36</v>
      </c>
      <c r="G8" s="3"/>
      <c r="H8" s="3"/>
      <c r="I8" s="13">
        <f t="shared" si="0"/>
        <v>280.36</v>
      </c>
    </row>
    <row r="9" spans="1:9" s="4" customFormat="1">
      <c r="A9" s="4" t="s">
        <v>8</v>
      </c>
      <c r="C9" s="5"/>
      <c r="D9" s="5"/>
      <c r="E9" s="6">
        <f>SUM(E2:E8)</f>
        <v>3125</v>
      </c>
      <c r="F9" s="6">
        <f t="shared" ref="F9:I9" si="1">SUM(F2:F8)</f>
        <v>330.94</v>
      </c>
      <c r="G9" s="6">
        <f t="shared" si="1"/>
        <v>3465.75</v>
      </c>
      <c r="H9" s="6">
        <f t="shared" si="1"/>
        <v>553.66999999999996</v>
      </c>
      <c r="I9" s="6">
        <f t="shared" si="1"/>
        <v>7475.36</v>
      </c>
    </row>
  </sheetData>
  <pageMargins left="0.7" right="0.7" top="0.75" bottom="0.75" header="0.3" footer="0.3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I16"/>
  <sheetViews>
    <sheetView workbookViewId="0">
      <selection activeCell="H12" sqref="H12"/>
    </sheetView>
  </sheetViews>
  <sheetFormatPr defaultRowHeight="15"/>
  <cols>
    <col min="2" max="2" width="22.5703125" customWidth="1"/>
    <col min="3" max="3" width="12.140625" customWidth="1"/>
    <col min="4" max="4" width="11.7109375" customWidth="1"/>
    <col min="5" max="5" width="20.42578125" customWidth="1"/>
    <col min="6" max="7" width="12.28515625" customWidth="1"/>
    <col min="8" max="8" width="14.85546875" customWidth="1"/>
    <col min="9" max="9" width="10.5703125" bestFit="1" customWidth="1"/>
  </cols>
  <sheetData>
    <row r="1" spans="2:9">
      <c r="B1" s="4" t="s">
        <v>127</v>
      </c>
    </row>
    <row r="2" spans="2:9" ht="46.5" customHeight="1">
      <c r="C2" s="4" t="s">
        <v>121</v>
      </c>
      <c r="D2" s="5" t="s">
        <v>122</v>
      </c>
      <c r="E2" s="5" t="s">
        <v>123</v>
      </c>
      <c r="F2" s="5" t="s">
        <v>158</v>
      </c>
      <c r="G2" s="5" t="s">
        <v>191</v>
      </c>
      <c r="H2" s="5" t="s">
        <v>193</v>
      </c>
      <c r="I2" s="5"/>
    </row>
    <row r="3" spans="2:9">
      <c r="B3" s="45" t="s">
        <v>115</v>
      </c>
      <c r="C3" s="3">
        <v>583</v>
      </c>
      <c r="D3" s="3">
        <v>406.96999999999997</v>
      </c>
      <c r="E3" s="3">
        <f>C3-D3</f>
        <v>176.03000000000003</v>
      </c>
      <c r="F3" s="3">
        <f>'Budget Analysis'!D12</f>
        <v>79.16</v>
      </c>
      <c r="G3" s="3">
        <v>0</v>
      </c>
      <c r="H3" s="3">
        <f>E3-F3+G3</f>
        <v>96.870000000000033</v>
      </c>
      <c r="I3" s="3"/>
    </row>
    <row r="4" spans="2:9">
      <c r="B4" s="45" t="s">
        <v>117</v>
      </c>
      <c r="C4" s="3">
        <v>600</v>
      </c>
      <c r="D4" s="3">
        <v>600</v>
      </c>
      <c r="E4" s="3">
        <f t="shared" ref="E4:E7" si="0">C4-D4</f>
        <v>0</v>
      </c>
      <c r="F4" s="3">
        <v>0</v>
      </c>
      <c r="G4" s="3">
        <v>0</v>
      </c>
      <c r="H4" s="3">
        <f t="shared" ref="H4:H8" si="1">E4-F4+G4</f>
        <v>0</v>
      </c>
      <c r="I4" s="3"/>
    </row>
    <row r="5" spans="2:9">
      <c r="B5" s="45" t="s">
        <v>116</v>
      </c>
      <c r="C5" s="3">
        <v>1500</v>
      </c>
      <c r="D5" s="3">
        <v>1115.4000000000001</v>
      </c>
      <c r="E5" s="3">
        <f t="shared" si="0"/>
        <v>384.59999999999991</v>
      </c>
      <c r="F5" s="3">
        <v>0</v>
      </c>
      <c r="G5" s="3">
        <v>0</v>
      </c>
      <c r="H5" s="3">
        <f t="shared" si="1"/>
        <v>384.59999999999991</v>
      </c>
      <c r="I5" s="3"/>
    </row>
    <row r="6" spans="2:9">
      <c r="B6" s="46" t="s">
        <v>118</v>
      </c>
      <c r="C6" s="3">
        <v>780</v>
      </c>
      <c r="D6" s="42">
        <v>516.41999999999996</v>
      </c>
      <c r="E6" s="3">
        <f t="shared" si="0"/>
        <v>263.58000000000004</v>
      </c>
      <c r="F6" s="3">
        <f>'Budget Analysis'!D18</f>
        <v>648.94000000000005</v>
      </c>
      <c r="G6" s="3">
        <v>2460</v>
      </c>
      <c r="H6" s="3">
        <f t="shared" si="1"/>
        <v>2074.64</v>
      </c>
      <c r="I6" s="3"/>
    </row>
    <row r="7" spans="2:9">
      <c r="B7" s="45" t="s">
        <v>106</v>
      </c>
      <c r="C7" s="3">
        <v>2000</v>
      </c>
      <c r="D7" s="3">
        <v>1406</v>
      </c>
      <c r="E7" s="3">
        <f t="shared" si="0"/>
        <v>594</v>
      </c>
      <c r="F7" s="3">
        <f>'Budget Analysis'!D20</f>
        <v>180</v>
      </c>
      <c r="G7" s="3">
        <v>0</v>
      </c>
      <c r="H7" s="3">
        <f t="shared" si="1"/>
        <v>414</v>
      </c>
    </row>
    <row r="8" spans="2:9">
      <c r="B8" s="47" t="s">
        <v>175</v>
      </c>
      <c r="C8" s="3"/>
      <c r="D8" s="3"/>
      <c r="E8" s="3"/>
      <c r="F8" s="3">
        <v>0</v>
      </c>
      <c r="G8" s="3">
        <v>972</v>
      </c>
      <c r="H8" s="3">
        <f t="shared" si="1"/>
        <v>972</v>
      </c>
      <c r="I8" s="3"/>
    </row>
    <row r="9" spans="2:9">
      <c r="B9" s="40" t="s">
        <v>13</v>
      </c>
      <c r="C9" s="6">
        <f>SUM(C3:C8)</f>
        <v>5463</v>
      </c>
      <c r="D9" s="6">
        <f t="shared" ref="D9:H9" si="2">SUM(D3:D8)</f>
        <v>4044.79</v>
      </c>
      <c r="E9" s="6">
        <f t="shared" si="2"/>
        <v>1418.21</v>
      </c>
      <c r="F9" s="6">
        <f t="shared" si="2"/>
        <v>908.1</v>
      </c>
      <c r="G9" s="6">
        <f t="shared" si="2"/>
        <v>3432</v>
      </c>
      <c r="H9" s="6">
        <f t="shared" si="2"/>
        <v>3942.1099999999997</v>
      </c>
      <c r="I9" s="3"/>
    </row>
    <row r="12" spans="2:9">
      <c r="B12" s="4" t="s">
        <v>131</v>
      </c>
      <c r="D12" s="22" t="s">
        <v>132</v>
      </c>
      <c r="E12" s="22" t="s">
        <v>133</v>
      </c>
      <c r="H12" s="4" t="s">
        <v>194</v>
      </c>
    </row>
    <row r="13" spans="2:9">
      <c r="B13" t="s">
        <v>134</v>
      </c>
      <c r="D13" s="3">
        <v>1645.74</v>
      </c>
      <c r="E13" s="3">
        <v>1249.68</v>
      </c>
      <c r="F13" s="3">
        <f>Expenditure!S51-F9</f>
        <v>3845.4699999999989</v>
      </c>
      <c r="G13" s="3">
        <f>Income!I9-'Line 7'!G9</f>
        <v>4043.3599999999997</v>
      </c>
      <c r="H13" s="3">
        <f t="shared" ref="H13" si="3">E13-F13+G13</f>
        <v>1447.5700000000006</v>
      </c>
      <c r="I13" s="43">
        <f>(H13-E13)/(H13)</f>
        <v>0.13670496072728813</v>
      </c>
    </row>
    <row r="14" spans="2:9">
      <c r="B14" t="s">
        <v>101</v>
      </c>
      <c r="D14" s="3">
        <v>0</v>
      </c>
      <c r="E14" s="3">
        <f>E9</f>
        <v>1418.21</v>
      </c>
      <c r="F14" s="3">
        <f>F9</f>
        <v>908.1</v>
      </c>
      <c r="G14" s="3">
        <f>G9</f>
        <v>3432</v>
      </c>
      <c r="H14" s="3">
        <f>H9</f>
        <v>3942.1099999999997</v>
      </c>
      <c r="I14" s="43">
        <f>(H14-E14)/(H14)</f>
        <v>0.64024088622590436</v>
      </c>
    </row>
    <row r="15" spans="2:9">
      <c r="B15" s="4" t="s">
        <v>13</v>
      </c>
      <c r="D15" s="6">
        <f>D13+D14</f>
        <v>1645.74</v>
      </c>
      <c r="E15" s="6">
        <f>E13+E14</f>
        <v>2667.8900000000003</v>
      </c>
      <c r="F15" s="6">
        <f t="shared" ref="F15:G15" si="4">F13+F14</f>
        <v>4753.5699999999988</v>
      </c>
      <c r="G15" s="6">
        <f t="shared" si="4"/>
        <v>7475.36</v>
      </c>
      <c r="H15" s="6">
        <f>H13+H14</f>
        <v>5389.68</v>
      </c>
      <c r="I15" s="43">
        <f>(H15-E15)/(H15)</f>
        <v>0.50500029686363568</v>
      </c>
    </row>
    <row r="16" spans="2:9">
      <c r="H16" s="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"/>
  <sheetViews>
    <sheetView zoomScaleNormal="100" workbookViewId="0">
      <pane ySplit="1" topLeftCell="A2" activePane="bottomLeft" state="frozen"/>
      <selection activeCell="B1" sqref="B1"/>
      <selection pane="bottomLeft" activeCell="N8" sqref="A1:N8"/>
    </sheetView>
  </sheetViews>
  <sheetFormatPr defaultRowHeight="15"/>
  <cols>
    <col min="1" max="1" width="10.7109375" bestFit="1" customWidth="1"/>
    <col min="2" max="2" width="10.140625" customWidth="1"/>
    <col min="3" max="3" width="10.85546875" customWidth="1"/>
    <col min="4" max="4" width="17.28515625" style="1" customWidth="1"/>
    <col min="5" max="5" width="13.85546875" style="1" customWidth="1"/>
    <col min="6" max="6" width="10.28515625" customWidth="1"/>
    <col min="7" max="7" width="13" customWidth="1"/>
    <col min="8" max="8" width="10.28515625" customWidth="1"/>
    <col min="9" max="9" width="9.42578125" customWidth="1"/>
    <col min="10" max="10" width="9.5703125" customWidth="1"/>
    <col min="11" max="11" width="10.5703125" customWidth="1"/>
    <col min="12" max="12" width="11.85546875" bestFit="1" customWidth="1"/>
    <col min="13" max="13" width="10.140625" bestFit="1" customWidth="1"/>
    <col min="14" max="14" width="11.85546875" bestFit="1" customWidth="1"/>
    <col min="15" max="15" width="11.7109375" customWidth="1"/>
    <col min="16" max="16" width="10.5703125" bestFit="1" customWidth="1"/>
  </cols>
  <sheetData>
    <row r="1" spans="1:17" s="5" customFormat="1" ht="30">
      <c r="A1" s="5" t="s">
        <v>0</v>
      </c>
      <c r="B1" s="5" t="s">
        <v>10</v>
      </c>
      <c r="C1" s="5" t="s">
        <v>9</v>
      </c>
      <c r="D1" s="5" t="s">
        <v>11</v>
      </c>
      <c r="E1" s="5" t="s">
        <v>2</v>
      </c>
      <c r="F1" s="27" t="s">
        <v>15</v>
      </c>
      <c r="G1" s="27" t="s">
        <v>91</v>
      </c>
      <c r="H1" s="27" t="s">
        <v>96</v>
      </c>
      <c r="I1" s="27" t="s">
        <v>95</v>
      </c>
      <c r="J1" s="27" t="s">
        <v>104</v>
      </c>
      <c r="K1" s="5" t="s">
        <v>17</v>
      </c>
      <c r="L1" s="5" t="s">
        <v>18</v>
      </c>
      <c r="M1" s="5" t="s">
        <v>3</v>
      </c>
      <c r="N1" s="5" t="s">
        <v>34</v>
      </c>
    </row>
    <row r="2" spans="1:17" ht="30">
      <c r="A2" s="2">
        <v>42843</v>
      </c>
      <c r="B2">
        <v>496</v>
      </c>
      <c r="D2" s="1" t="s">
        <v>137</v>
      </c>
      <c r="E2" s="1" t="s">
        <v>138</v>
      </c>
      <c r="F2" s="3"/>
      <c r="G2" s="3">
        <v>79.16</v>
      </c>
      <c r="H2" s="3"/>
      <c r="I2" s="3"/>
      <c r="J2" s="3"/>
      <c r="K2" s="3">
        <v>79.16</v>
      </c>
      <c r="L2" s="3">
        <v>15.83</v>
      </c>
      <c r="M2" s="3">
        <v>94.99</v>
      </c>
      <c r="N2" s="3" t="s">
        <v>90</v>
      </c>
      <c r="Q2" s="3"/>
    </row>
    <row r="3" spans="1:17">
      <c r="A3" s="2">
        <v>42878</v>
      </c>
      <c r="B3">
        <v>497</v>
      </c>
      <c r="D3" s="1" t="s">
        <v>143</v>
      </c>
      <c r="E3" s="1" t="s">
        <v>144</v>
      </c>
      <c r="F3" s="3">
        <v>135</v>
      </c>
      <c r="G3" s="3"/>
      <c r="H3" s="3"/>
      <c r="I3" s="3"/>
      <c r="J3" s="3"/>
      <c r="K3" s="3">
        <v>135</v>
      </c>
      <c r="L3" s="3">
        <v>27</v>
      </c>
      <c r="M3" s="3">
        <v>162</v>
      </c>
      <c r="N3" s="3" t="s">
        <v>145</v>
      </c>
      <c r="Q3" s="3"/>
    </row>
    <row r="4" spans="1:17" ht="30">
      <c r="A4">
        <v>42913</v>
      </c>
      <c r="B4">
        <v>503</v>
      </c>
      <c r="D4" s="1" t="s">
        <v>84</v>
      </c>
      <c r="E4" s="1" t="s">
        <v>151</v>
      </c>
      <c r="G4" s="3"/>
      <c r="H4" s="3"/>
      <c r="I4" s="3">
        <v>76.88</v>
      </c>
      <c r="J4" s="3"/>
      <c r="K4" s="3">
        <v>76.88</v>
      </c>
      <c r="L4" s="3">
        <v>15.38</v>
      </c>
      <c r="M4" s="3">
        <v>92.259999999999991</v>
      </c>
      <c r="N4" t="s">
        <v>152</v>
      </c>
    </row>
    <row r="5" spans="1:17">
      <c r="A5">
        <v>43130</v>
      </c>
      <c r="B5">
        <v>467</v>
      </c>
      <c r="D5" s="1" t="s">
        <v>176</v>
      </c>
      <c r="E5" s="1" t="s">
        <v>47</v>
      </c>
      <c r="G5" s="3"/>
      <c r="H5" s="3"/>
      <c r="I5" s="3"/>
      <c r="J5" s="3">
        <v>58.29</v>
      </c>
      <c r="K5" s="3">
        <v>58.29</v>
      </c>
      <c r="L5" s="3">
        <v>11.66</v>
      </c>
      <c r="M5" s="3">
        <v>69.95</v>
      </c>
      <c r="N5">
        <v>910332082</v>
      </c>
    </row>
    <row r="6" spans="1:17">
      <c r="A6">
        <v>43130</v>
      </c>
      <c r="B6">
        <v>468</v>
      </c>
      <c r="D6" s="1" t="s">
        <v>177</v>
      </c>
      <c r="E6" s="1" t="s">
        <v>178</v>
      </c>
      <c r="G6" s="3"/>
      <c r="H6" s="3"/>
      <c r="I6" s="3"/>
      <c r="J6" s="3">
        <v>24.5</v>
      </c>
      <c r="K6" s="3">
        <v>24.5</v>
      </c>
      <c r="L6" s="3">
        <v>4.9000000000000004</v>
      </c>
      <c r="M6" s="3">
        <v>29.4</v>
      </c>
      <c r="N6">
        <v>151629570</v>
      </c>
    </row>
    <row r="7" spans="1:17" ht="30">
      <c r="A7">
        <v>43130</v>
      </c>
      <c r="B7">
        <v>475</v>
      </c>
      <c r="D7" s="1" t="s">
        <v>180</v>
      </c>
      <c r="E7" s="1" t="s">
        <v>155</v>
      </c>
      <c r="G7" s="3"/>
      <c r="H7" s="3">
        <v>189.97</v>
      </c>
      <c r="I7" s="3"/>
      <c r="J7" s="3"/>
      <c r="K7" s="3">
        <v>189.97</v>
      </c>
      <c r="L7" s="3">
        <v>37.99</v>
      </c>
      <c r="M7" s="3">
        <v>227.96</v>
      </c>
      <c r="N7">
        <v>159631388</v>
      </c>
    </row>
    <row r="8" spans="1:17">
      <c r="A8" t="s">
        <v>8</v>
      </c>
      <c r="L8" s="3">
        <f>SUM(L2:L7)</f>
        <v>112.76000000000002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1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2"/>
  <sheetViews>
    <sheetView topLeftCell="C1" zoomScaleNormal="100" workbookViewId="0">
      <pane ySplit="1" topLeftCell="A41" activePane="bottomLeft" state="frozen"/>
      <selection activeCell="B1" sqref="B1"/>
      <selection pane="bottomLeft" sqref="A1:XFD1"/>
    </sheetView>
  </sheetViews>
  <sheetFormatPr defaultRowHeight="15"/>
  <cols>
    <col min="1" max="1" width="10.7109375" bestFit="1" customWidth="1"/>
    <col min="2" max="2" width="10.140625" customWidth="1"/>
    <col min="3" max="3" width="10.85546875" customWidth="1"/>
    <col min="4" max="4" width="17.28515625" style="1" customWidth="1"/>
    <col min="5" max="5" width="13.85546875" style="1" customWidth="1"/>
    <col min="6" max="6" width="10.42578125" customWidth="1"/>
    <col min="7" max="7" width="10.28515625" customWidth="1"/>
    <col min="8" max="8" width="13" customWidth="1"/>
    <col min="9" max="11" width="10.28515625" customWidth="1"/>
    <col min="12" max="12" width="11.7109375" customWidth="1"/>
    <col min="13" max="13" width="13" customWidth="1"/>
    <col min="14" max="14" width="10.28515625" customWidth="1"/>
    <col min="15" max="15" width="9.5703125" customWidth="1"/>
    <col min="16" max="16" width="10.5703125" customWidth="1"/>
    <col min="17" max="17" width="11.85546875" bestFit="1" customWidth="1"/>
    <col min="18" max="18" width="10.140625" bestFit="1" customWidth="1"/>
    <col min="19" max="19" width="11.85546875" bestFit="1" customWidth="1"/>
    <col min="20" max="20" width="11.7109375" customWidth="1"/>
    <col min="21" max="21" width="10.5703125" bestFit="1" customWidth="1"/>
  </cols>
  <sheetData>
    <row r="1" spans="1:20" s="5" customFormat="1" ht="45">
      <c r="A1" s="5" t="s">
        <v>0</v>
      </c>
      <c r="B1" s="5" t="s">
        <v>10</v>
      </c>
      <c r="C1" s="5" t="s">
        <v>9</v>
      </c>
      <c r="D1" s="5" t="s">
        <v>11</v>
      </c>
      <c r="E1" s="5" t="s">
        <v>2</v>
      </c>
      <c r="F1" s="5" t="s">
        <v>14</v>
      </c>
      <c r="G1" s="27" t="s">
        <v>68</v>
      </c>
      <c r="H1" s="27" t="s">
        <v>19</v>
      </c>
      <c r="I1" s="27" t="s">
        <v>15</v>
      </c>
      <c r="J1" s="27" t="s">
        <v>16</v>
      </c>
      <c r="K1" s="27" t="s">
        <v>5</v>
      </c>
      <c r="L1" s="27" t="s">
        <v>69</v>
      </c>
      <c r="M1" s="27" t="s">
        <v>91</v>
      </c>
      <c r="N1" s="27" t="s">
        <v>155</v>
      </c>
      <c r="O1" s="27" t="s">
        <v>104</v>
      </c>
      <c r="P1" s="27" t="s">
        <v>4</v>
      </c>
      <c r="Q1" s="5" t="s">
        <v>17</v>
      </c>
      <c r="R1" s="5" t="s">
        <v>18</v>
      </c>
      <c r="S1" s="5" t="s">
        <v>3</v>
      </c>
      <c r="T1" s="5" t="s">
        <v>34</v>
      </c>
    </row>
    <row r="2" spans="1:20">
      <c r="A2" s="2">
        <v>42843</v>
      </c>
      <c r="B2">
        <v>492</v>
      </c>
      <c r="D2" s="1" t="s">
        <v>84</v>
      </c>
      <c r="E2" s="1" t="s">
        <v>85</v>
      </c>
      <c r="F2" s="3">
        <v>90.72</v>
      </c>
      <c r="G2" s="3"/>
      <c r="H2" s="3"/>
      <c r="I2" s="3"/>
      <c r="J2" s="3"/>
      <c r="K2" s="3"/>
      <c r="L2" s="3"/>
      <c r="M2" s="3"/>
      <c r="N2" s="3"/>
      <c r="O2" s="3"/>
      <c r="P2" s="3"/>
      <c r="Q2" s="3">
        <f>SUM(F2:P2)</f>
        <v>90.72</v>
      </c>
      <c r="R2" s="3"/>
      <c r="S2" s="3">
        <f>Q2+R2</f>
        <v>90.72</v>
      </c>
    </row>
    <row r="3" spans="1:20">
      <c r="A3" s="2">
        <v>42843</v>
      </c>
      <c r="B3">
        <v>493</v>
      </c>
      <c r="D3" s="1" t="s">
        <v>102</v>
      </c>
      <c r="E3" s="1" t="s">
        <v>103</v>
      </c>
      <c r="O3" s="3">
        <v>37.6</v>
      </c>
      <c r="Q3" s="3">
        <f t="shared" ref="Q3:Q10" si="0">SUM(F3:P3)</f>
        <v>37.6</v>
      </c>
      <c r="S3" s="3">
        <f t="shared" ref="S3:S10" si="1">Q3+R3</f>
        <v>37.6</v>
      </c>
    </row>
    <row r="4" spans="1:20">
      <c r="A4" s="2">
        <v>42843</v>
      </c>
      <c r="B4">
        <v>494</v>
      </c>
      <c r="D4" s="1" t="s">
        <v>86</v>
      </c>
      <c r="E4" s="1" t="s">
        <v>136</v>
      </c>
      <c r="F4" s="3"/>
      <c r="G4" s="3"/>
      <c r="H4" s="3">
        <v>61.75</v>
      </c>
      <c r="I4" s="3"/>
      <c r="J4" s="3"/>
      <c r="K4" s="3"/>
      <c r="L4" s="3"/>
      <c r="M4" s="3"/>
      <c r="N4" s="3"/>
      <c r="O4" s="3"/>
      <c r="P4" s="3"/>
      <c r="Q4" s="3">
        <f t="shared" si="0"/>
        <v>61.75</v>
      </c>
      <c r="R4" s="3"/>
      <c r="S4" s="3">
        <f t="shared" si="1"/>
        <v>61.75</v>
      </c>
    </row>
    <row r="5" spans="1:20" ht="30">
      <c r="A5" s="2">
        <v>42843</v>
      </c>
      <c r="B5">
        <v>495</v>
      </c>
      <c r="D5" s="1" t="s">
        <v>88</v>
      </c>
      <c r="E5" s="1" t="s">
        <v>89</v>
      </c>
      <c r="F5" s="3"/>
      <c r="G5" s="3"/>
      <c r="H5" s="3"/>
      <c r="I5" s="3"/>
      <c r="J5" s="3">
        <v>347.74</v>
      </c>
      <c r="K5" s="3"/>
      <c r="L5" s="3"/>
      <c r="M5" s="3"/>
      <c r="N5" s="3"/>
      <c r="O5" s="3"/>
      <c r="P5" s="3"/>
      <c r="Q5" s="3">
        <f t="shared" si="0"/>
        <v>347.74</v>
      </c>
      <c r="R5" s="3"/>
      <c r="S5" s="3">
        <f t="shared" si="1"/>
        <v>347.74</v>
      </c>
    </row>
    <row r="6" spans="1:20" ht="30">
      <c r="A6" s="2">
        <v>42843</v>
      </c>
      <c r="B6">
        <v>496</v>
      </c>
      <c r="D6" s="1" t="s">
        <v>137</v>
      </c>
      <c r="E6" s="1" t="s">
        <v>138</v>
      </c>
      <c r="F6" s="3"/>
      <c r="G6" s="3"/>
      <c r="H6" s="3"/>
      <c r="I6" s="3"/>
      <c r="J6" s="3"/>
      <c r="K6" s="3"/>
      <c r="L6" s="3"/>
      <c r="M6" s="3">
        <v>79.16</v>
      </c>
      <c r="N6" s="3"/>
      <c r="O6" s="3"/>
      <c r="P6" s="3"/>
      <c r="Q6" s="3">
        <f t="shared" si="0"/>
        <v>79.16</v>
      </c>
      <c r="R6" s="3">
        <v>15.83</v>
      </c>
      <c r="S6" s="3">
        <f t="shared" si="1"/>
        <v>94.99</v>
      </c>
      <c r="T6" t="s">
        <v>90</v>
      </c>
    </row>
    <row r="7" spans="1:20">
      <c r="A7" s="2">
        <v>42878</v>
      </c>
      <c r="B7">
        <v>497</v>
      </c>
      <c r="D7" s="1" t="s">
        <v>143</v>
      </c>
      <c r="E7" s="1" t="s">
        <v>144</v>
      </c>
      <c r="F7" s="3"/>
      <c r="G7" s="3"/>
      <c r="H7" s="3"/>
      <c r="I7" s="3">
        <v>135</v>
      </c>
      <c r="J7" s="3"/>
      <c r="K7" s="3"/>
      <c r="L7" s="3"/>
      <c r="M7" s="3"/>
      <c r="N7" s="3"/>
      <c r="O7" s="3"/>
      <c r="P7" s="3"/>
      <c r="Q7" s="3">
        <f t="shared" si="0"/>
        <v>135</v>
      </c>
      <c r="R7" s="3">
        <v>27</v>
      </c>
      <c r="S7" s="3">
        <f t="shared" si="1"/>
        <v>162</v>
      </c>
      <c r="T7" t="s">
        <v>145</v>
      </c>
    </row>
    <row r="8" spans="1:20">
      <c r="A8" s="2">
        <v>42878</v>
      </c>
      <c r="B8">
        <v>498</v>
      </c>
      <c r="D8" s="1" t="s">
        <v>102</v>
      </c>
      <c r="E8" s="1" t="s">
        <v>103</v>
      </c>
      <c r="F8" s="3"/>
      <c r="G8" s="3"/>
      <c r="H8" s="3"/>
      <c r="I8" s="3"/>
      <c r="J8" s="3"/>
      <c r="K8" s="3"/>
      <c r="L8" s="3"/>
      <c r="M8" s="3"/>
      <c r="N8" s="3"/>
      <c r="O8" s="3">
        <v>45.6</v>
      </c>
      <c r="P8" s="3"/>
      <c r="Q8" s="3">
        <f t="shared" si="0"/>
        <v>45.6</v>
      </c>
      <c r="R8" s="3"/>
      <c r="S8" s="3">
        <f t="shared" si="1"/>
        <v>45.6</v>
      </c>
    </row>
    <row r="9" spans="1:20">
      <c r="A9" s="2">
        <v>42878</v>
      </c>
      <c r="B9">
        <v>499</v>
      </c>
      <c r="D9" s="1" t="s">
        <v>84</v>
      </c>
      <c r="E9" s="1" t="s">
        <v>85</v>
      </c>
      <c r="F9" s="3">
        <v>90.32</v>
      </c>
      <c r="G9" s="3"/>
      <c r="H9" s="3"/>
      <c r="I9" s="3"/>
      <c r="J9" s="3"/>
      <c r="K9" s="3"/>
      <c r="L9" s="3"/>
      <c r="M9" s="3"/>
      <c r="N9" s="3"/>
      <c r="O9" s="3"/>
      <c r="P9" s="3"/>
      <c r="Q9" s="3">
        <f t="shared" si="0"/>
        <v>90.32</v>
      </c>
      <c r="R9" s="3"/>
      <c r="S9" s="3">
        <f t="shared" si="1"/>
        <v>90.32</v>
      </c>
    </row>
    <row r="10" spans="1:20">
      <c r="A10" s="2">
        <v>42881</v>
      </c>
      <c r="B10" t="s">
        <v>146</v>
      </c>
      <c r="D10" s="1" t="s">
        <v>147</v>
      </c>
      <c r="E10" s="1" t="s">
        <v>148</v>
      </c>
      <c r="F10" s="3"/>
      <c r="G10" s="3"/>
      <c r="H10" s="3"/>
      <c r="I10" s="3">
        <v>1.86</v>
      </c>
      <c r="J10" s="3"/>
      <c r="K10" s="3"/>
      <c r="L10" s="3"/>
      <c r="M10" s="3"/>
      <c r="N10" s="3"/>
      <c r="O10" s="3"/>
      <c r="P10" s="3"/>
      <c r="Q10" s="3">
        <f t="shared" si="0"/>
        <v>1.86</v>
      </c>
      <c r="R10" s="3"/>
      <c r="S10" s="3">
        <f t="shared" si="1"/>
        <v>1.86</v>
      </c>
    </row>
    <row r="11" spans="1:20">
      <c r="A11" s="2">
        <v>42913</v>
      </c>
      <c r="B11">
        <v>500</v>
      </c>
      <c r="D11" s="1" t="s">
        <v>149</v>
      </c>
      <c r="E11" s="1" t="s">
        <v>150</v>
      </c>
      <c r="F11" s="3">
        <v>150.4</v>
      </c>
      <c r="G11" s="3"/>
      <c r="H11" s="3"/>
      <c r="I11" s="3"/>
      <c r="J11" s="3"/>
      <c r="K11" s="3"/>
      <c r="L11" s="3"/>
      <c r="M11" s="3"/>
      <c r="N11" s="3"/>
      <c r="O11" s="3">
        <v>9.1999999999999993</v>
      </c>
      <c r="P11" s="3"/>
      <c r="Q11" s="3">
        <f t="shared" ref="Q11:Q16" si="2">SUM(F11:P11)</f>
        <v>159.6</v>
      </c>
      <c r="R11" s="3"/>
      <c r="S11" s="3">
        <f t="shared" ref="S11:S16" si="3">Q11+R11</f>
        <v>159.6</v>
      </c>
    </row>
    <row r="12" spans="1:20">
      <c r="A12" s="2">
        <v>42913</v>
      </c>
      <c r="B12">
        <v>501</v>
      </c>
      <c r="D12" s="1" t="s">
        <v>84</v>
      </c>
      <c r="E12" s="1" t="s">
        <v>85</v>
      </c>
      <c r="F12" s="3">
        <v>120.72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f t="shared" si="2"/>
        <v>120.72</v>
      </c>
      <c r="R12" s="3"/>
      <c r="S12" s="3">
        <f t="shared" si="3"/>
        <v>120.72</v>
      </c>
    </row>
    <row r="13" spans="1:20">
      <c r="A13" s="2">
        <v>42913</v>
      </c>
      <c r="B13">
        <v>502</v>
      </c>
      <c r="D13" s="1" t="s">
        <v>102</v>
      </c>
      <c r="E13" s="1" t="s">
        <v>103</v>
      </c>
      <c r="F13" s="3"/>
      <c r="G13" s="3"/>
      <c r="H13" s="3"/>
      <c r="I13" s="3"/>
      <c r="J13" s="3"/>
      <c r="K13" s="3"/>
      <c r="L13" s="3"/>
      <c r="M13" s="3"/>
      <c r="N13" s="3"/>
      <c r="O13" s="3">
        <v>37.6</v>
      </c>
      <c r="P13" s="3"/>
      <c r="Q13" s="3">
        <f t="shared" si="2"/>
        <v>37.6</v>
      </c>
      <c r="R13" s="3"/>
      <c r="S13" s="3">
        <f t="shared" si="3"/>
        <v>37.6</v>
      </c>
    </row>
    <row r="14" spans="1:20" ht="30">
      <c r="A14" s="2">
        <v>42913</v>
      </c>
      <c r="B14">
        <v>503</v>
      </c>
      <c r="D14" s="1" t="s">
        <v>84</v>
      </c>
      <c r="E14" s="1" t="s">
        <v>151</v>
      </c>
      <c r="F14" s="3"/>
      <c r="G14" s="3"/>
      <c r="H14" s="3"/>
      <c r="I14" s="3"/>
      <c r="J14" s="3"/>
      <c r="K14" s="3"/>
      <c r="L14" s="3"/>
      <c r="M14" s="3"/>
      <c r="N14" s="3"/>
      <c r="O14" s="3">
        <v>76.88</v>
      </c>
      <c r="P14" s="3"/>
      <c r="Q14" s="3">
        <f t="shared" si="2"/>
        <v>76.88</v>
      </c>
      <c r="R14" s="3">
        <v>15.38</v>
      </c>
      <c r="S14" s="3">
        <f t="shared" si="3"/>
        <v>92.259999999999991</v>
      </c>
      <c r="T14" t="s">
        <v>152</v>
      </c>
    </row>
    <row r="15" spans="1:20" ht="45">
      <c r="A15" s="2">
        <v>42913</v>
      </c>
      <c r="B15">
        <v>504</v>
      </c>
      <c r="D15" s="1" t="s">
        <v>153</v>
      </c>
      <c r="E15" s="1" t="s">
        <v>154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180</v>
      </c>
      <c r="Q15" s="3">
        <f t="shared" si="2"/>
        <v>180</v>
      </c>
      <c r="R15" s="3"/>
      <c r="S15" s="3">
        <f t="shared" si="3"/>
        <v>180</v>
      </c>
    </row>
    <row r="16" spans="1:20" ht="45">
      <c r="A16" s="2">
        <v>42913</v>
      </c>
      <c r="B16">
        <v>505</v>
      </c>
      <c r="D16" s="1" t="s">
        <v>156</v>
      </c>
      <c r="E16" s="1" t="s">
        <v>157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25</v>
      </c>
      <c r="Q16" s="3">
        <f t="shared" si="2"/>
        <v>25</v>
      </c>
      <c r="R16" s="3"/>
      <c r="S16" s="3">
        <f t="shared" si="3"/>
        <v>25</v>
      </c>
    </row>
    <row r="17" spans="1:19">
      <c r="A17" s="2">
        <v>42936</v>
      </c>
      <c r="B17">
        <v>506</v>
      </c>
      <c r="D17" s="1" t="s">
        <v>102</v>
      </c>
      <c r="E17" s="1" t="s">
        <v>103</v>
      </c>
      <c r="F17" s="3"/>
      <c r="G17" s="3"/>
      <c r="H17" s="3"/>
      <c r="I17" s="3"/>
      <c r="J17" s="3"/>
      <c r="K17" s="3"/>
      <c r="L17" s="3"/>
      <c r="M17" s="3"/>
      <c r="N17" s="3"/>
      <c r="O17" s="3">
        <v>45.6</v>
      </c>
      <c r="P17" s="3"/>
      <c r="Q17" s="3">
        <f t="shared" ref="Q17:Q18" si="4">SUM(F17:P17)</f>
        <v>45.6</v>
      </c>
      <c r="R17" s="3"/>
      <c r="S17" s="3">
        <f t="shared" ref="S17:S18" si="5">Q17+R17</f>
        <v>45.6</v>
      </c>
    </row>
    <row r="18" spans="1:19">
      <c r="A18" s="2">
        <v>42936</v>
      </c>
      <c r="B18">
        <v>507</v>
      </c>
      <c r="D18" s="1" t="s">
        <v>84</v>
      </c>
      <c r="E18" s="1" t="s">
        <v>85</v>
      </c>
      <c r="F18" s="3">
        <v>120.72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f t="shared" si="4"/>
        <v>120.72</v>
      </c>
      <c r="R18" s="3"/>
      <c r="S18" s="3">
        <f t="shared" si="5"/>
        <v>120.72</v>
      </c>
    </row>
    <row r="19" spans="1:19">
      <c r="A19" s="2">
        <v>42936</v>
      </c>
      <c r="B19">
        <v>508</v>
      </c>
      <c r="D19" s="1" t="s">
        <v>160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f t="shared" ref="Q19:Q21" si="6">SUM(F19:P19)</f>
        <v>0</v>
      </c>
      <c r="R19" s="3"/>
      <c r="S19" s="3">
        <f t="shared" ref="S19:S21" si="7">Q19+R19</f>
        <v>0</v>
      </c>
    </row>
    <row r="20" spans="1:19">
      <c r="A20" s="2">
        <v>42983</v>
      </c>
      <c r="B20">
        <v>509</v>
      </c>
      <c r="D20" s="1" t="s">
        <v>102</v>
      </c>
      <c r="E20" s="1" t="s">
        <v>103</v>
      </c>
      <c r="F20" s="3"/>
      <c r="G20" s="3"/>
      <c r="H20" s="3"/>
      <c r="I20" s="3"/>
      <c r="J20" s="3"/>
      <c r="K20" s="3"/>
      <c r="L20" s="3"/>
      <c r="M20" s="3"/>
      <c r="N20" s="3"/>
      <c r="O20" s="3">
        <v>45.6</v>
      </c>
      <c r="P20" s="3"/>
      <c r="Q20" s="3">
        <f t="shared" si="6"/>
        <v>45.6</v>
      </c>
      <c r="R20" s="3"/>
      <c r="S20" s="3">
        <f t="shared" si="7"/>
        <v>45.6</v>
      </c>
    </row>
    <row r="21" spans="1:19">
      <c r="A21" s="2">
        <v>42983</v>
      </c>
      <c r="B21">
        <v>510</v>
      </c>
      <c r="D21" s="1" t="s">
        <v>84</v>
      </c>
      <c r="E21" s="1" t="s">
        <v>85</v>
      </c>
      <c r="F21" s="3">
        <v>120.72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6"/>
        <v>120.72</v>
      </c>
      <c r="R21" s="3"/>
      <c r="S21" s="3">
        <f t="shared" si="7"/>
        <v>120.72</v>
      </c>
    </row>
    <row r="22" spans="1:19">
      <c r="A22" s="2">
        <v>43025</v>
      </c>
      <c r="B22">
        <v>455</v>
      </c>
      <c r="D22" s="1" t="s">
        <v>102</v>
      </c>
      <c r="E22" s="1" t="s">
        <v>103</v>
      </c>
      <c r="F22" s="3"/>
      <c r="G22" s="3"/>
      <c r="H22" s="3"/>
      <c r="I22" s="3"/>
      <c r="J22" s="3"/>
      <c r="K22" s="3"/>
      <c r="L22" s="3"/>
      <c r="M22" s="3"/>
      <c r="N22" s="3"/>
      <c r="O22" s="3">
        <v>37.6</v>
      </c>
      <c r="P22" s="3"/>
      <c r="Q22" s="3">
        <f t="shared" ref="Q22:Q27" si="8">SUM(F22:P22)</f>
        <v>37.6</v>
      </c>
      <c r="R22" s="3"/>
      <c r="S22" s="3">
        <f t="shared" ref="S22:S27" si="9">Q22+R22</f>
        <v>37.6</v>
      </c>
    </row>
    <row r="23" spans="1:19">
      <c r="A23" s="2">
        <v>43025</v>
      </c>
      <c r="B23">
        <v>456</v>
      </c>
      <c r="D23" s="1" t="s">
        <v>84</v>
      </c>
      <c r="E23" s="1" t="s">
        <v>85</v>
      </c>
      <c r="F23" s="3">
        <v>120.72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>
        <f t="shared" si="8"/>
        <v>120.72</v>
      </c>
      <c r="R23" s="3"/>
      <c r="S23" s="3">
        <f t="shared" si="9"/>
        <v>120.72</v>
      </c>
    </row>
    <row r="24" spans="1:19">
      <c r="A24" s="2">
        <v>43025</v>
      </c>
      <c r="B24">
        <v>457</v>
      </c>
      <c r="D24" s="1" t="s">
        <v>149</v>
      </c>
      <c r="E24" s="1" t="s">
        <v>150</v>
      </c>
      <c r="F24" s="3">
        <f>101.2-(2.4+4.4+4.4)</f>
        <v>90</v>
      </c>
      <c r="G24" s="3"/>
      <c r="H24" s="3"/>
      <c r="I24" s="3"/>
      <c r="J24" s="3"/>
      <c r="K24" s="3"/>
      <c r="L24" s="3"/>
      <c r="M24" s="3"/>
      <c r="N24" s="3"/>
      <c r="O24" s="3">
        <f>4.4+4.4+2.4</f>
        <v>11.200000000000001</v>
      </c>
      <c r="P24" s="3"/>
      <c r="Q24" s="3">
        <f t="shared" si="8"/>
        <v>101.2</v>
      </c>
      <c r="R24" s="3"/>
      <c r="S24" s="3">
        <f t="shared" si="9"/>
        <v>101.2</v>
      </c>
    </row>
    <row r="25" spans="1:19">
      <c r="A25" s="2">
        <v>43025</v>
      </c>
      <c r="B25">
        <v>458</v>
      </c>
      <c r="D25" s="1" t="s">
        <v>102</v>
      </c>
      <c r="E25" s="1" t="s">
        <v>103</v>
      </c>
      <c r="F25" s="3"/>
      <c r="G25" s="3"/>
      <c r="H25" s="3"/>
      <c r="I25" s="3"/>
      <c r="J25" s="3"/>
      <c r="K25" s="3"/>
      <c r="L25" s="3"/>
      <c r="M25" s="3"/>
      <c r="N25" s="3"/>
      <c r="O25" s="3">
        <v>37.6</v>
      </c>
      <c r="P25" s="3"/>
      <c r="Q25" s="3">
        <f t="shared" si="8"/>
        <v>37.6</v>
      </c>
      <c r="R25" s="3"/>
      <c r="S25" s="3">
        <f t="shared" si="9"/>
        <v>37.6</v>
      </c>
    </row>
    <row r="26" spans="1:19">
      <c r="A26" s="2">
        <v>43025</v>
      </c>
      <c r="B26">
        <v>459</v>
      </c>
      <c r="D26" s="1" t="s">
        <v>84</v>
      </c>
      <c r="E26" s="1" t="s">
        <v>85</v>
      </c>
      <c r="F26" s="3">
        <v>120.72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>
        <f t="shared" si="8"/>
        <v>120.72</v>
      </c>
      <c r="R26" s="3"/>
      <c r="S26" s="3">
        <f t="shared" si="9"/>
        <v>120.72</v>
      </c>
    </row>
    <row r="27" spans="1:19" ht="30">
      <c r="A27" s="2">
        <v>43025</v>
      </c>
      <c r="B27">
        <v>460</v>
      </c>
      <c r="D27" s="1" t="s">
        <v>161</v>
      </c>
      <c r="E27" s="1" t="s">
        <v>162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v>17</v>
      </c>
      <c r="Q27" s="3">
        <f t="shared" si="8"/>
        <v>17</v>
      </c>
      <c r="R27" s="3"/>
      <c r="S27" s="3">
        <f t="shared" si="9"/>
        <v>17</v>
      </c>
    </row>
    <row r="28" spans="1:19">
      <c r="A28" s="2">
        <v>43067</v>
      </c>
      <c r="B28">
        <v>461</v>
      </c>
      <c r="D28" s="1" t="s">
        <v>102</v>
      </c>
      <c r="E28" s="1" t="s">
        <v>103</v>
      </c>
      <c r="F28" s="3"/>
      <c r="G28" s="3"/>
      <c r="H28" s="3"/>
      <c r="I28" s="3"/>
      <c r="J28" s="3"/>
      <c r="K28" s="3"/>
      <c r="L28" s="3"/>
      <c r="M28" s="3"/>
      <c r="N28" s="3"/>
      <c r="O28" s="3">
        <v>37.6</v>
      </c>
      <c r="P28" s="3"/>
      <c r="Q28" s="3">
        <f t="shared" ref="Q28:Q43" si="10">SUM(F28:P28)</f>
        <v>37.6</v>
      </c>
      <c r="R28" s="3"/>
      <c r="S28" s="3">
        <f t="shared" ref="S28:S43" si="11">Q28+R28</f>
        <v>37.6</v>
      </c>
    </row>
    <row r="29" spans="1:19">
      <c r="A29" s="2">
        <v>43067</v>
      </c>
      <c r="B29">
        <v>462</v>
      </c>
      <c r="D29" s="1" t="s">
        <v>84</v>
      </c>
      <c r="E29" s="1" t="s">
        <v>85</v>
      </c>
      <c r="F29" s="3">
        <v>120.72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>
        <f t="shared" si="10"/>
        <v>120.72</v>
      </c>
      <c r="R29" s="3"/>
      <c r="S29" s="3">
        <f t="shared" si="11"/>
        <v>120.72</v>
      </c>
    </row>
    <row r="30" spans="1:19" ht="30">
      <c r="A30" s="2">
        <v>43067</v>
      </c>
      <c r="B30">
        <v>463</v>
      </c>
      <c r="D30" s="1" t="s">
        <v>140</v>
      </c>
      <c r="E30" s="1" t="s">
        <v>163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>
        <v>107</v>
      </c>
      <c r="Q30" s="3">
        <f t="shared" si="10"/>
        <v>107</v>
      </c>
      <c r="R30" s="3"/>
      <c r="S30" s="3">
        <f t="shared" si="11"/>
        <v>107</v>
      </c>
    </row>
    <row r="31" spans="1:19">
      <c r="A31" s="2">
        <v>43067</v>
      </c>
      <c r="B31">
        <v>464</v>
      </c>
      <c r="D31" s="1" t="s">
        <v>164</v>
      </c>
      <c r="E31" s="1" t="s">
        <v>165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v>370</v>
      </c>
      <c r="Q31" s="3">
        <f t="shared" si="10"/>
        <v>370</v>
      </c>
      <c r="R31" s="3"/>
      <c r="S31" s="3">
        <f t="shared" si="11"/>
        <v>370</v>
      </c>
    </row>
    <row r="32" spans="1:19">
      <c r="A32" s="2">
        <v>43067</v>
      </c>
      <c r="B32">
        <v>465</v>
      </c>
      <c r="D32" s="1" t="s">
        <v>164</v>
      </c>
      <c r="E32" s="1" t="s">
        <v>165</v>
      </c>
      <c r="F32" s="3"/>
      <c r="G32" s="3"/>
      <c r="H32" s="3"/>
      <c r="I32" s="3"/>
      <c r="J32" s="3"/>
      <c r="K32" s="3">
        <v>275</v>
      </c>
      <c r="L32" s="3"/>
      <c r="M32" s="3"/>
      <c r="N32" s="3"/>
      <c r="O32" s="3"/>
      <c r="P32" s="3"/>
      <c r="Q32" s="3">
        <f t="shared" si="10"/>
        <v>275</v>
      </c>
      <c r="R32" s="3"/>
      <c r="S32" s="3">
        <f t="shared" si="11"/>
        <v>275</v>
      </c>
    </row>
    <row r="33" spans="1:20" ht="30">
      <c r="A33" s="2">
        <v>43067</v>
      </c>
      <c r="B33">
        <v>466</v>
      </c>
      <c r="D33" s="1" t="s">
        <v>86</v>
      </c>
      <c r="E33" s="1" t="s">
        <v>166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45</v>
      </c>
      <c r="Q33" s="3">
        <f t="shared" si="10"/>
        <v>45</v>
      </c>
      <c r="R33" s="3"/>
      <c r="S33" s="3">
        <f t="shared" si="11"/>
        <v>45</v>
      </c>
    </row>
    <row r="34" spans="1:20">
      <c r="A34" s="2">
        <v>43130</v>
      </c>
      <c r="B34">
        <v>467</v>
      </c>
      <c r="D34" s="1" t="s">
        <v>176</v>
      </c>
      <c r="E34" s="1" t="s">
        <v>47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v>58.29</v>
      </c>
      <c r="Q34" s="3">
        <f t="shared" si="10"/>
        <v>58.29</v>
      </c>
      <c r="R34" s="3">
        <v>11.66</v>
      </c>
      <c r="S34" s="3">
        <f t="shared" si="11"/>
        <v>69.95</v>
      </c>
      <c r="T34">
        <v>910332082</v>
      </c>
    </row>
    <row r="35" spans="1:20">
      <c r="A35" s="2">
        <v>43130</v>
      </c>
      <c r="B35">
        <v>468</v>
      </c>
      <c r="D35" s="1" t="s">
        <v>177</v>
      </c>
      <c r="E35" s="1" t="s">
        <v>178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>
        <v>24.5</v>
      </c>
      <c r="Q35" s="3">
        <f t="shared" si="10"/>
        <v>24.5</v>
      </c>
      <c r="R35" s="3">
        <v>4.9000000000000004</v>
      </c>
      <c r="S35" s="3">
        <f t="shared" si="11"/>
        <v>29.4</v>
      </c>
      <c r="T35">
        <v>151629570</v>
      </c>
    </row>
    <row r="36" spans="1:20">
      <c r="A36" s="2">
        <v>43130</v>
      </c>
      <c r="B36">
        <v>469</v>
      </c>
      <c r="D36" s="1" t="s">
        <v>149</v>
      </c>
      <c r="E36" s="1" t="s">
        <v>150</v>
      </c>
      <c r="F36" s="3">
        <v>90</v>
      </c>
      <c r="G36" s="3"/>
      <c r="H36" s="3"/>
      <c r="I36" s="3"/>
      <c r="J36" s="3"/>
      <c r="K36" s="3"/>
      <c r="L36" s="3"/>
      <c r="M36" s="3"/>
      <c r="N36" s="3"/>
      <c r="O36" s="3">
        <v>9.1999999999999993</v>
      </c>
      <c r="P36" s="3"/>
      <c r="Q36" s="3">
        <f t="shared" si="10"/>
        <v>99.2</v>
      </c>
      <c r="R36" s="3"/>
      <c r="S36" s="3">
        <f t="shared" si="11"/>
        <v>99.2</v>
      </c>
    </row>
    <row r="37" spans="1:20">
      <c r="A37" s="2">
        <v>43130</v>
      </c>
      <c r="B37">
        <v>470</v>
      </c>
      <c r="D37" s="1" t="s">
        <v>84</v>
      </c>
      <c r="E37" s="1" t="s">
        <v>85</v>
      </c>
      <c r="F37" s="3">
        <v>120.72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>
        <f t="shared" si="10"/>
        <v>120.72</v>
      </c>
      <c r="R37" s="3"/>
      <c r="S37" s="3">
        <f t="shared" si="11"/>
        <v>120.72</v>
      </c>
    </row>
    <row r="38" spans="1:20">
      <c r="A38" s="2">
        <v>43130</v>
      </c>
      <c r="B38">
        <v>471</v>
      </c>
      <c r="D38" s="1" t="s">
        <v>102</v>
      </c>
      <c r="E38" s="1" t="s">
        <v>103</v>
      </c>
      <c r="F38" s="3"/>
      <c r="G38" s="3"/>
      <c r="H38" s="3"/>
      <c r="I38" s="3"/>
      <c r="J38" s="3"/>
      <c r="K38" s="3"/>
      <c r="L38" s="3"/>
      <c r="M38" s="3"/>
      <c r="N38" s="3"/>
      <c r="O38" s="3">
        <v>45.6</v>
      </c>
      <c r="P38" s="3"/>
      <c r="Q38" s="3">
        <f t="shared" si="10"/>
        <v>45.6</v>
      </c>
      <c r="R38" s="3"/>
      <c r="S38" s="3">
        <f t="shared" si="11"/>
        <v>45.6</v>
      </c>
    </row>
    <row r="39" spans="1:20">
      <c r="A39" s="2">
        <v>43130</v>
      </c>
      <c r="B39">
        <v>472</v>
      </c>
      <c r="D39" s="1" t="s">
        <v>84</v>
      </c>
      <c r="E39" s="1" t="s">
        <v>179</v>
      </c>
      <c r="F39" s="3"/>
      <c r="G39" s="3"/>
      <c r="H39" s="3"/>
      <c r="I39" s="3"/>
      <c r="J39" s="3"/>
      <c r="K39" s="3"/>
      <c r="L39" s="3"/>
      <c r="M39" s="3"/>
      <c r="N39" s="3"/>
      <c r="O39" s="3">
        <v>9.56</v>
      </c>
      <c r="P39" s="3"/>
      <c r="Q39" s="3">
        <f t="shared" si="10"/>
        <v>9.56</v>
      </c>
      <c r="R39" s="3"/>
      <c r="S39" s="3">
        <f t="shared" si="11"/>
        <v>9.56</v>
      </c>
    </row>
    <row r="40" spans="1:20">
      <c r="A40" s="2">
        <v>43130</v>
      </c>
      <c r="B40">
        <v>473</v>
      </c>
      <c r="D40" s="1" t="s">
        <v>84</v>
      </c>
      <c r="E40" s="1" t="s">
        <v>85</v>
      </c>
      <c r="F40" s="3">
        <v>120.72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>
        <f t="shared" si="10"/>
        <v>120.72</v>
      </c>
      <c r="R40" s="3"/>
      <c r="S40" s="3">
        <f t="shared" si="11"/>
        <v>120.72</v>
      </c>
    </row>
    <row r="41" spans="1:20">
      <c r="A41" s="2">
        <v>43130</v>
      </c>
      <c r="B41">
        <v>474</v>
      </c>
      <c r="D41" s="1" t="s">
        <v>102</v>
      </c>
      <c r="E41" s="1" t="s">
        <v>103</v>
      </c>
      <c r="F41" s="3"/>
      <c r="G41" s="3"/>
      <c r="H41" s="3"/>
      <c r="I41" s="3"/>
      <c r="J41" s="3"/>
      <c r="K41" s="3"/>
      <c r="L41" s="3"/>
      <c r="M41" s="3"/>
      <c r="N41" s="3"/>
      <c r="O41" s="3">
        <v>45.6</v>
      </c>
      <c r="P41" s="3"/>
      <c r="Q41" s="3">
        <f t="shared" si="10"/>
        <v>45.6</v>
      </c>
      <c r="R41" s="3"/>
      <c r="S41" s="3">
        <f t="shared" si="11"/>
        <v>45.6</v>
      </c>
    </row>
    <row r="42" spans="1:20" ht="30">
      <c r="A42" s="2">
        <v>43130</v>
      </c>
      <c r="B42">
        <v>475</v>
      </c>
      <c r="D42" s="1" t="s">
        <v>180</v>
      </c>
      <c r="E42" s="1" t="s">
        <v>155</v>
      </c>
      <c r="F42" s="3"/>
      <c r="G42" s="3"/>
      <c r="H42" s="3"/>
      <c r="I42" s="3"/>
      <c r="J42" s="3"/>
      <c r="K42" s="3"/>
      <c r="L42" s="3"/>
      <c r="M42" s="3"/>
      <c r="N42" s="3">
        <v>189.97</v>
      </c>
      <c r="O42" s="3"/>
      <c r="P42" s="3"/>
      <c r="Q42" s="3">
        <f t="shared" si="10"/>
        <v>189.97</v>
      </c>
      <c r="R42" s="3">
        <v>37.99</v>
      </c>
      <c r="S42" s="3">
        <f t="shared" si="11"/>
        <v>227.96</v>
      </c>
      <c r="T42">
        <v>159631388</v>
      </c>
    </row>
    <row r="43" spans="1:20" ht="30">
      <c r="A43" s="2">
        <v>43130</v>
      </c>
      <c r="B43">
        <v>476</v>
      </c>
      <c r="D43" s="1" t="s">
        <v>181</v>
      </c>
      <c r="E43" s="1" t="s">
        <v>63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>
        <v>250</v>
      </c>
      <c r="Q43" s="3">
        <f t="shared" si="10"/>
        <v>250</v>
      </c>
      <c r="R43" s="3"/>
      <c r="S43" s="3">
        <f t="shared" si="11"/>
        <v>250</v>
      </c>
    </row>
    <row r="44" spans="1:20">
      <c r="A44" s="2">
        <v>43159</v>
      </c>
      <c r="B44">
        <v>505</v>
      </c>
      <c r="D44" s="1" t="s">
        <v>160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>
        <v>-25</v>
      </c>
      <c r="Q44" s="3">
        <f t="shared" ref="Q44:Q50" si="12">SUM(F44:P44)</f>
        <v>-25</v>
      </c>
      <c r="R44" s="3"/>
      <c r="S44" s="3">
        <f t="shared" ref="S44:S50" si="13">Q44+R44</f>
        <v>-25</v>
      </c>
    </row>
    <row r="45" spans="1:20" ht="30">
      <c r="A45" s="2">
        <v>43186</v>
      </c>
      <c r="B45">
        <v>477</v>
      </c>
      <c r="D45" s="1" t="s">
        <v>84</v>
      </c>
      <c r="E45" s="1" t="s">
        <v>186</v>
      </c>
      <c r="F45" s="3"/>
      <c r="G45" s="3"/>
      <c r="I45" s="3"/>
      <c r="J45" s="3"/>
      <c r="K45" s="3"/>
      <c r="L45" s="3">
        <v>35</v>
      </c>
      <c r="M45" s="3"/>
      <c r="N45" s="3"/>
      <c r="O45" s="3"/>
      <c r="P45" s="3"/>
      <c r="Q45" s="3">
        <f t="shared" si="12"/>
        <v>35</v>
      </c>
      <c r="R45" s="3"/>
      <c r="S45" s="3">
        <f t="shared" si="13"/>
        <v>35</v>
      </c>
    </row>
    <row r="46" spans="1:20">
      <c r="A46" s="2">
        <v>43186</v>
      </c>
      <c r="B46">
        <v>478</v>
      </c>
      <c r="D46" s="1" t="s">
        <v>102</v>
      </c>
      <c r="E46" s="1" t="s">
        <v>103</v>
      </c>
      <c r="F46" s="3"/>
      <c r="G46" s="3"/>
      <c r="H46" s="3"/>
      <c r="I46" s="3"/>
      <c r="J46" s="3"/>
      <c r="K46" s="3"/>
      <c r="L46" s="3"/>
      <c r="M46" s="3"/>
      <c r="N46" s="3"/>
      <c r="O46" s="3">
        <v>45.6</v>
      </c>
      <c r="P46" s="3"/>
      <c r="Q46" s="3">
        <f t="shared" si="12"/>
        <v>45.6</v>
      </c>
      <c r="R46" s="3"/>
      <c r="S46" s="3">
        <f t="shared" si="13"/>
        <v>45.6</v>
      </c>
    </row>
    <row r="47" spans="1:20">
      <c r="A47" s="2">
        <v>43186</v>
      </c>
      <c r="B47">
        <v>479</v>
      </c>
      <c r="D47" s="1" t="s">
        <v>102</v>
      </c>
      <c r="E47" s="1" t="s">
        <v>103</v>
      </c>
      <c r="F47" s="3"/>
      <c r="G47" s="3"/>
      <c r="H47" s="3"/>
      <c r="I47" s="3"/>
      <c r="J47" s="3"/>
      <c r="K47" s="3"/>
      <c r="L47" s="3"/>
      <c r="M47" s="3"/>
      <c r="N47" s="3"/>
      <c r="O47" s="3">
        <v>55.5</v>
      </c>
      <c r="P47" s="3"/>
      <c r="Q47" s="3">
        <f t="shared" si="12"/>
        <v>55.5</v>
      </c>
      <c r="R47" s="3"/>
      <c r="S47" s="3">
        <f t="shared" si="13"/>
        <v>55.5</v>
      </c>
    </row>
    <row r="48" spans="1:20">
      <c r="A48" s="2">
        <v>43186</v>
      </c>
      <c r="B48">
        <v>480</v>
      </c>
      <c r="D48" s="1" t="s">
        <v>84</v>
      </c>
      <c r="E48" s="1" t="s">
        <v>85</v>
      </c>
      <c r="F48" s="3">
        <v>123.2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>
        <f t="shared" si="12"/>
        <v>123.2</v>
      </c>
      <c r="R48" s="3"/>
      <c r="S48" s="3">
        <f t="shared" si="13"/>
        <v>123.2</v>
      </c>
    </row>
    <row r="49" spans="1:21">
      <c r="A49" s="2">
        <v>43186</v>
      </c>
      <c r="B49">
        <v>481</v>
      </c>
      <c r="D49" s="1" t="s">
        <v>84</v>
      </c>
      <c r="E49" s="1" t="s">
        <v>85</v>
      </c>
      <c r="F49" s="3">
        <v>122.8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>
        <f t="shared" si="12"/>
        <v>122.8</v>
      </c>
      <c r="R49" s="3"/>
      <c r="S49" s="3">
        <f t="shared" si="13"/>
        <v>122.8</v>
      </c>
    </row>
    <row r="50" spans="1:21">
      <c r="A50" s="2">
        <v>43186</v>
      </c>
      <c r="B50">
        <v>482</v>
      </c>
      <c r="D50" s="1" t="s">
        <v>149</v>
      </c>
      <c r="E50" s="1" t="s">
        <v>150</v>
      </c>
      <c r="F50" s="3">
        <v>91.4</v>
      </c>
      <c r="G50" s="3"/>
      <c r="H50" s="3"/>
      <c r="I50" s="3"/>
      <c r="J50" s="3"/>
      <c r="K50" s="3"/>
      <c r="L50" s="3"/>
      <c r="M50" s="3"/>
      <c r="N50" s="3"/>
      <c r="O50" s="3">
        <f>7+4.4+4.4</f>
        <v>15.8</v>
      </c>
      <c r="P50" s="3"/>
      <c r="Q50" s="3">
        <f t="shared" si="12"/>
        <v>107.2</v>
      </c>
      <c r="R50" s="3"/>
      <c r="S50" s="3">
        <f t="shared" si="13"/>
        <v>107.2</v>
      </c>
    </row>
    <row r="51" spans="1:21" s="4" customFormat="1">
      <c r="A51" s="4" t="s">
        <v>8</v>
      </c>
      <c r="D51" s="5"/>
      <c r="E51" s="5"/>
      <c r="F51" s="6">
        <f>SUM(F2:F50)</f>
        <v>1814.6000000000001</v>
      </c>
      <c r="G51" s="6">
        <f t="shared" ref="G51:S51" si="14">SUM(G2:G50)</f>
        <v>0</v>
      </c>
      <c r="H51" s="6">
        <f t="shared" si="14"/>
        <v>61.75</v>
      </c>
      <c r="I51" s="6">
        <f t="shared" si="14"/>
        <v>136.86000000000001</v>
      </c>
      <c r="J51" s="6">
        <f t="shared" si="14"/>
        <v>347.74</v>
      </c>
      <c r="K51" s="6">
        <f t="shared" si="14"/>
        <v>275</v>
      </c>
      <c r="L51" s="6">
        <f t="shared" si="14"/>
        <v>35</v>
      </c>
      <c r="M51" s="6">
        <f t="shared" si="14"/>
        <v>79.16</v>
      </c>
      <c r="N51" s="6">
        <f t="shared" si="14"/>
        <v>189.97</v>
      </c>
      <c r="O51" s="6">
        <f t="shared" si="14"/>
        <v>648.94000000000005</v>
      </c>
      <c r="P51" s="6">
        <f t="shared" si="14"/>
        <v>1051.79</v>
      </c>
      <c r="Q51" s="6">
        <f t="shared" si="14"/>
        <v>4640.8099999999986</v>
      </c>
      <c r="R51" s="6">
        <f t="shared" si="14"/>
        <v>112.76000000000002</v>
      </c>
      <c r="S51" s="6">
        <f t="shared" si="14"/>
        <v>4753.5699999999988</v>
      </c>
      <c r="U51" s="6">
        <f>SUM(S45:S50)</f>
        <v>489.3</v>
      </c>
    </row>
    <row r="57" spans="1:21">
      <c r="O57">
        <v>37.6</v>
      </c>
    </row>
    <row r="58" spans="1:21">
      <c r="O58">
        <v>45.6</v>
      </c>
    </row>
    <row r="59" spans="1:21">
      <c r="O59">
        <v>2.4</v>
      </c>
    </row>
    <row r="60" spans="1:21">
      <c r="O60">
        <v>2.4</v>
      </c>
    </row>
    <row r="61" spans="1:21">
      <c r="O61">
        <v>4.4000000000000004</v>
      </c>
    </row>
    <row r="62" spans="1:21">
      <c r="O62" s="3">
        <f>SUM(O51:O61)</f>
        <v>741.34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7" fitToHeight="2" orientation="landscape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B21" sqref="B21"/>
    </sheetView>
  </sheetViews>
  <sheetFormatPr defaultRowHeight="15"/>
  <cols>
    <col min="1" max="1" width="25.42578125" customWidth="1"/>
    <col min="2" max="2" width="14" customWidth="1"/>
    <col min="3" max="3" width="10.7109375" customWidth="1"/>
  </cols>
  <sheetData>
    <row r="1" spans="1:2">
      <c r="A1" s="4" t="s">
        <v>124</v>
      </c>
    </row>
    <row r="3" spans="1:2">
      <c r="A3" s="8" t="s">
        <v>107</v>
      </c>
      <c r="B3" s="3"/>
    </row>
    <row r="4" spans="1:2">
      <c r="A4" t="s">
        <v>12</v>
      </c>
      <c r="B4" s="3">
        <v>2.44</v>
      </c>
    </row>
    <row r="5" spans="1:2">
      <c r="A5" t="s">
        <v>20</v>
      </c>
      <c r="B5" s="3">
        <v>3002.57</v>
      </c>
    </row>
    <row r="6" spans="1:2" ht="17.25">
      <c r="A6" s="9" t="s">
        <v>13</v>
      </c>
      <c r="B6" s="11">
        <f>SUM(B4:B5)</f>
        <v>3005.01</v>
      </c>
    </row>
    <row r="7" spans="1:2" ht="17.25">
      <c r="A7" t="s">
        <v>35</v>
      </c>
      <c r="B7" s="7">
        <v>-337.12</v>
      </c>
    </row>
    <row r="8" spans="1:2">
      <c r="A8" s="26" t="s">
        <v>13</v>
      </c>
      <c r="B8" s="10">
        <f>SUM(B6:B7)</f>
        <v>2667.8900000000003</v>
      </c>
    </row>
    <row r="9" spans="1:2" ht="17.25">
      <c r="A9" s="26"/>
      <c r="B9" s="11"/>
    </row>
    <row r="10" spans="1:2">
      <c r="A10" t="s">
        <v>65</v>
      </c>
      <c r="B10" s="13">
        <f>Income!I9</f>
        <v>7475.36</v>
      </c>
    </row>
    <row r="11" spans="1:2" ht="17.25">
      <c r="A11" t="s">
        <v>66</v>
      </c>
      <c r="B11" s="7">
        <f>-Expenditure!S51</f>
        <v>-4753.5699999999988</v>
      </c>
    </row>
    <row r="12" spans="1:2">
      <c r="A12" s="9" t="s">
        <v>13</v>
      </c>
      <c r="B12" s="36">
        <f>B8+B10+B11</f>
        <v>5389.6800000000012</v>
      </c>
    </row>
    <row r="13" spans="1:2" ht="17.25">
      <c r="B13" s="11"/>
    </row>
    <row r="14" spans="1:2">
      <c r="A14" s="4" t="s">
        <v>192</v>
      </c>
      <c r="B14" s="3"/>
    </row>
    <row r="15" spans="1:2">
      <c r="A15" s="4" t="s">
        <v>21</v>
      </c>
      <c r="B15" s="3"/>
    </row>
    <row r="16" spans="1:2">
      <c r="A16" s="8"/>
      <c r="B16" s="3"/>
    </row>
    <row r="17" spans="1:5">
      <c r="A17" t="s">
        <v>12</v>
      </c>
      <c r="B17" s="3">
        <v>0.57999999999999996</v>
      </c>
    </row>
    <row r="18" spans="1:5">
      <c r="A18" t="s">
        <v>20</v>
      </c>
      <c r="B18" s="34">
        <v>5878.4</v>
      </c>
      <c r="D18" s="3"/>
    </row>
    <row r="19" spans="1:5" ht="17.25">
      <c r="A19" s="9" t="s">
        <v>13</v>
      </c>
      <c r="B19" s="37">
        <f>SUM(B17:B18)</f>
        <v>5878.98</v>
      </c>
      <c r="C19" s="3"/>
      <c r="D19" s="3"/>
    </row>
    <row r="20" spans="1:5" ht="17.25">
      <c r="A20" t="s">
        <v>35</v>
      </c>
      <c r="B20" s="7">
        <f>-(Expenditure!Q45+Expenditure!Q46+Expenditure!Q47+Expenditure!Q48+Expenditure!Q49+Expenditure!Q50)</f>
        <v>-489.3</v>
      </c>
      <c r="C20" s="3"/>
      <c r="D20" s="3"/>
    </row>
    <row r="21" spans="1:5">
      <c r="A21" s="9" t="s">
        <v>13</v>
      </c>
      <c r="B21" s="10">
        <f>SUM(B19:B20)</f>
        <v>5389.6799999999994</v>
      </c>
      <c r="D21" s="3"/>
      <c r="E21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topLeftCell="A5" workbookViewId="0">
      <selection activeCell="A2" sqref="A2:L24"/>
    </sheetView>
  </sheetViews>
  <sheetFormatPr defaultRowHeight="15"/>
  <cols>
    <col min="1" max="1" width="27.28515625" customWidth="1"/>
    <col min="2" max="2" width="14.28515625" customWidth="1"/>
    <col min="3" max="3" width="11.42578125" customWidth="1"/>
    <col min="4" max="4" width="13.85546875" customWidth="1"/>
    <col min="5" max="5" width="10.5703125" bestFit="1" customWidth="1"/>
    <col min="6" max="6" width="19.7109375" customWidth="1"/>
    <col min="10" max="10" width="10.5703125" bestFit="1" customWidth="1"/>
    <col min="11" max="11" width="12.28515625" customWidth="1"/>
  </cols>
  <sheetData>
    <row r="1" spans="1:17">
      <c r="A1" s="4" t="s">
        <v>159</v>
      </c>
    </row>
    <row r="2" spans="1:17">
      <c r="A2" s="4" t="s">
        <v>139</v>
      </c>
      <c r="B2" s="22" t="s">
        <v>58</v>
      </c>
      <c r="D2" s="4" t="s">
        <v>26</v>
      </c>
      <c r="E2" s="4"/>
      <c r="H2" s="4"/>
      <c r="J2" s="4"/>
      <c r="K2" s="22"/>
      <c r="M2" s="4"/>
      <c r="N2" s="4"/>
    </row>
    <row r="3" spans="1:17">
      <c r="A3" s="4" t="s">
        <v>22</v>
      </c>
      <c r="B3" s="22" t="s">
        <v>59</v>
      </c>
      <c r="C3" s="4" t="s">
        <v>24</v>
      </c>
      <c r="D3" s="4" t="s">
        <v>25</v>
      </c>
      <c r="E3" s="4" t="s">
        <v>23</v>
      </c>
      <c r="F3" s="4" t="s">
        <v>60</v>
      </c>
      <c r="G3" s="4" t="s">
        <v>62</v>
      </c>
      <c r="H3" s="4"/>
      <c r="I3" s="4"/>
      <c r="J3" s="4"/>
      <c r="K3" s="22"/>
      <c r="L3" s="4"/>
      <c r="M3" s="4"/>
      <c r="N3" s="4"/>
      <c r="O3" s="4"/>
      <c r="P3" s="4"/>
      <c r="Q3" s="4"/>
    </row>
    <row r="4" spans="1:17">
      <c r="A4" s="12" t="s">
        <v>28</v>
      </c>
      <c r="B4" s="13">
        <v>1900</v>
      </c>
      <c r="D4" s="3">
        <f>Expenditure!F51</f>
        <v>1814.6000000000001</v>
      </c>
      <c r="E4" s="3">
        <f>B4-D4</f>
        <v>85.399999999999864</v>
      </c>
      <c r="F4" s="23">
        <f>D4/B4</f>
        <v>0.95505263157894749</v>
      </c>
      <c r="I4" s="3"/>
      <c r="J4" s="12"/>
      <c r="K4" s="20"/>
      <c r="L4" s="3"/>
      <c r="M4" s="3"/>
      <c r="N4" s="3"/>
      <c r="O4" s="23"/>
      <c r="P4" s="18"/>
    </row>
    <row r="5" spans="1:17">
      <c r="A5" s="12" t="s">
        <v>29</v>
      </c>
      <c r="B5" s="13">
        <v>65</v>
      </c>
      <c r="D5" s="3">
        <v>61.75</v>
      </c>
      <c r="E5" s="3">
        <f t="shared" ref="E5:E7" si="0">B5-D5</f>
        <v>3.25</v>
      </c>
      <c r="F5" s="23">
        <f t="shared" ref="F5:F6" si="1">D5/B5</f>
        <v>0.95</v>
      </c>
      <c r="J5" s="12"/>
      <c r="K5" s="20"/>
      <c r="L5" s="3"/>
      <c r="M5" s="3"/>
      <c r="N5" s="3"/>
      <c r="O5" s="23"/>
      <c r="P5" s="18"/>
    </row>
    <row r="6" spans="1:17">
      <c r="A6" s="12" t="s">
        <v>30</v>
      </c>
      <c r="B6" s="13">
        <v>85</v>
      </c>
      <c r="D6" s="3">
        <f>Expenditure!I51</f>
        <v>136.86000000000001</v>
      </c>
      <c r="E6" s="3">
        <f t="shared" si="0"/>
        <v>-51.860000000000014</v>
      </c>
      <c r="F6" s="23">
        <f t="shared" si="1"/>
        <v>1.6101176470588237</v>
      </c>
      <c r="J6" s="12"/>
      <c r="K6" s="20"/>
      <c r="L6" s="3"/>
      <c r="M6" s="3"/>
      <c r="N6" s="3"/>
      <c r="O6" s="23"/>
      <c r="P6" s="18"/>
    </row>
    <row r="7" spans="1:17">
      <c r="A7" s="12" t="s">
        <v>31</v>
      </c>
      <c r="B7" s="20">
        <v>340</v>
      </c>
      <c r="D7" s="3">
        <v>347.74</v>
      </c>
      <c r="E7" s="3">
        <f t="shared" si="0"/>
        <v>-7.7400000000000091</v>
      </c>
      <c r="F7" s="23">
        <f t="shared" ref="F7:F15" si="2">D7/B7</f>
        <v>1.022764705882353</v>
      </c>
      <c r="J7" s="12"/>
      <c r="K7" s="20"/>
      <c r="L7" s="3"/>
      <c r="M7" s="3"/>
      <c r="N7" s="3"/>
      <c r="O7" s="23"/>
      <c r="P7" s="18"/>
    </row>
    <row r="8" spans="1:17">
      <c r="A8" s="12" t="s">
        <v>32</v>
      </c>
      <c r="B8" s="20">
        <v>81</v>
      </c>
      <c r="C8" s="3">
        <f>-Income!I5-Income!F8</f>
        <v>-330.94</v>
      </c>
      <c r="D8" s="3">
        <f>Expenditure!K51</f>
        <v>275</v>
      </c>
      <c r="E8" s="3">
        <f>B8-D8-C8</f>
        <v>136.94</v>
      </c>
      <c r="F8" s="23">
        <f t="shared" si="2"/>
        <v>3.3950617283950617</v>
      </c>
      <c r="J8" s="12"/>
      <c r="K8" s="20"/>
      <c r="L8" s="3"/>
      <c r="M8" s="3"/>
      <c r="N8" s="3"/>
      <c r="O8" s="23"/>
      <c r="P8" s="18"/>
    </row>
    <row r="9" spans="1:17">
      <c r="A9" s="1" t="s">
        <v>37</v>
      </c>
      <c r="B9" s="20">
        <v>35</v>
      </c>
      <c r="D9" s="3">
        <f>Expenditure!L51</f>
        <v>35</v>
      </c>
      <c r="E9" s="3">
        <f>B9-D9</f>
        <v>0</v>
      </c>
      <c r="F9" s="23">
        <f t="shared" si="2"/>
        <v>1</v>
      </c>
      <c r="J9" s="1"/>
      <c r="K9" s="20"/>
      <c r="L9" s="3"/>
      <c r="M9" s="3"/>
      <c r="N9" s="3"/>
      <c r="O9" s="23"/>
      <c r="P9" s="18"/>
    </row>
    <row r="10" spans="1:17">
      <c r="A10" s="1" t="s">
        <v>61</v>
      </c>
      <c r="B10" s="20">
        <v>380</v>
      </c>
      <c r="D10" s="3">
        <f>Expenditure!P31</f>
        <v>370</v>
      </c>
      <c r="E10" s="3">
        <f t="shared" ref="E10:E17" si="3">B10-D10</f>
        <v>10</v>
      </c>
      <c r="F10" s="23">
        <f t="shared" si="2"/>
        <v>0.97368421052631582</v>
      </c>
      <c r="J10" s="12"/>
      <c r="K10" s="20"/>
      <c r="L10" s="3"/>
      <c r="M10" s="3"/>
      <c r="N10" s="3"/>
      <c r="O10" s="23"/>
      <c r="P10" s="18"/>
    </row>
    <row r="11" spans="1:17">
      <c r="A11" s="1" t="s">
        <v>63</v>
      </c>
      <c r="B11" s="20">
        <v>300</v>
      </c>
      <c r="D11" s="3">
        <f>Expenditure!P43</f>
        <v>250</v>
      </c>
      <c r="E11" s="3">
        <f t="shared" si="3"/>
        <v>50</v>
      </c>
      <c r="F11" s="23">
        <f t="shared" si="2"/>
        <v>0.83333333333333337</v>
      </c>
      <c r="J11" s="1"/>
      <c r="K11" s="21"/>
      <c r="L11" s="3"/>
      <c r="M11" s="3"/>
      <c r="N11" s="3"/>
      <c r="O11" s="23"/>
      <c r="P11" s="18"/>
    </row>
    <row r="12" spans="1:17">
      <c r="A12" s="1" t="s">
        <v>92</v>
      </c>
      <c r="B12" s="20"/>
      <c r="D12" s="3">
        <v>79.16</v>
      </c>
      <c r="E12" s="3">
        <f t="shared" si="3"/>
        <v>-79.16</v>
      </c>
      <c r="F12" s="23"/>
      <c r="G12" t="s">
        <v>101</v>
      </c>
      <c r="J12" s="1"/>
      <c r="K12" s="21"/>
      <c r="L12" s="13"/>
      <c r="M12" s="13"/>
      <c r="N12" s="3"/>
      <c r="O12" s="23"/>
      <c r="P12" s="18"/>
    </row>
    <row r="13" spans="1:17">
      <c r="A13" s="12" t="s">
        <v>33</v>
      </c>
      <c r="B13" s="20">
        <v>200</v>
      </c>
      <c r="C13" s="3">
        <f>-Income!I4</f>
        <v>-33.75</v>
      </c>
      <c r="D13" s="3">
        <f>Expenditure!P33+Expenditure!P27+Expenditure!P34+Expenditure!P35</f>
        <v>144.79</v>
      </c>
      <c r="E13" s="3">
        <f>B13-D13-C13</f>
        <v>88.960000000000008</v>
      </c>
      <c r="F13" s="23">
        <f t="shared" si="2"/>
        <v>0.72394999999999998</v>
      </c>
      <c r="J13" s="1"/>
      <c r="K13" s="21"/>
      <c r="L13" s="13"/>
      <c r="M13" s="13"/>
      <c r="N13" s="3"/>
      <c r="O13" s="23"/>
      <c r="P13" s="18"/>
    </row>
    <row r="14" spans="1:17">
      <c r="A14" s="1" t="s">
        <v>64</v>
      </c>
      <c r="B14" s="20">
        <v>15</v>
      </c>
      <c r="E14" s="3">
        <f t="shared" si="3"/>
        <v>15</v>
      </c>
      <c r="F14" s="23">
        <f t="shared" si="2"/>
        <v>0</v>
      </c>
      <c r="J14" s="1"/>
      <c r="K14" s="21"/>
      <c r="L14" s="13"/>
      <c r="M14" s="13"/>
      <c r="N14" s="3"/>
      <c r="O14" s="23"/>
      <c r="P14" s="18"/>
    </row>
    <row r="15" spans="1:17">
      <c r="A15" s="1" t="s">
        <v>82</v>
      </c>
      <c r="B15" s="20">
        <v>220</v>
      </c>
      <c r="D15" s="3">
        <f>Expenditure!Q30</f>
        <v>107</v>
      </c>
      <c r="E15" s="3">
        <f t="shared" si="3"/>
        <v>113</v>
      </c>
      <c r="F15" s="23">
        <f t="shared" si="2"/>
        <v>0.48636363636363639</v>
      </c>
      <c r="J15" s="1"/>
      <c r="K15" s="21"/>
      <c r="L15" s="13"/>
      <c r="M15" s="13"/>
      <c r="N15" s="3"/>
      <c r="O15" s="23"/>
      <c r="P15" s="18"/>
    </row>
    <row r="16" spans="1:17">
      <c r="A16" s="1" t="s">
        <v>97</v>
      </c>
      <c r="B16" s="35">
        <v>0</v>
      </c>
      <c r="D16" s="3"/>
      <c r="E16" s="3">
        <f t="shared" si="3"/>
        <v>0</v>
      </c>
      <c r="F16" s="23"/>
      <c r="G16" t="s">
        <v>101</v>
      </c>
      <c r="J16" s="1"/>
      <c r="K16" s="21"/>
      <c r="L16" s="13"/>
      <c r="M16" s="13"/>
      <c r="N16" s="3"/>
      <c r="O16" s="23"/>
      <c r="P16" s="18"/>
    </row>
    <row r="17" spans="1:16">
      <c r="A17" s="1" t="s">
        <v>98</v>
      </c>
      <c r="B17" s="35">
        <v>0</v>
      </c>
      <c r="D17" s="3"/>
      <c r="E17" s="3">
        <f t="shared" si="3"/>
        <v>0</v>
      </c>
      <c r="F17" s="23"/>
      <c r="G17" t="s">
        <v>101</v>
      </c>
      <c r="J17" s="1"/>
      <c r="K17" s="21"/>
      <c r="L17" s="13"/>
      <c r="M17" s="13"/>
      <c r="N17" s="3"/>
      <c r="O17" s="23"/>
      <c r="P17" s="18"/>
    </row>
    <row r="18" spans="1:16">
      <c r="A18" s="1" t="s">
        <v>103</v>
      </c>
      <c r="B18" s="35"/>
      <c r="C18" s="3">
        <f>-Income!G6</f>
        <v>-2460</v>
      </c>
      <c r="D18" s="3">
        <f>Expenditure!O51</f>
        <v>648.94000000000005</v>
      </c>
      <c r="E18" s="3">
        <f>B18-D18-C18</f>
        <v>1811.06</v>
      </c>
      <c r="F18" s="23"/>
      <c r="G18" t="s">
        <v>101</v>
      </c>
      <c r="J18" s="1"/>
      <c r="K18" s="21"/>
      <c r="L18" s="13"/>
      <c r="M18" s="13"/>
      <c r="N18" s="3"/>
      <c r="O18" s="23"/>
      <c r="P18" s="18"/>
    </row>
    <row r="19" spans="1:16">
      <c r="A19" s="1" t="s">
        <v>155</v>
      </c>
      <c r="B19" s="35"/>
      <c r="C19" s="3"/>
      <c r="D19" s="3">
        <f>Expenditure!Q42</f>
        <v>189.97</v>
      </c>
      <c r="E19" s="3">
        <f>B19-D19-C19</f>
        <v>-189.97</v>
      </c>
      <c r="F19" s="23"/>
      <c r="J19" s="1"/>
      <c r="K19" s="21"/>
      <c r="L19" s="13"/>
      <c r="M19" s="13"/>
      <c r="N19" s="3"/>
      <c r="O19" s="23"/>
      <c r="P19" s="18"/>
    </row>
    <row r="20" spans="1:16">
      <c r="A20" s="1" t="s">
        <v>106</v>
      </c>
      <c r="B20" s="35">
        <v>0</v>
      </c>
      <c r="C20" s="3"/>
      <c r="D20" s="3">
        <f>Expenditure!S15+Expenditure!S16+Expenditure!P44</f>
        <v>180</v>
      </c>
      <c r="E20" s="3">
        <f t="shared" ref="E20" si="4">B20-D20</f>
        <v>-180</v>
      </c>
      <c r="F20" s="23"/>
      <c r="G20" t="s">
        <v>101</v>
      </c>
      <c r="I20" t="s">
        <v>167</v>
      </c>
      <c r="J20" s="1"/>
      <c r="K20" s="21"/>
      <c r="L20" s="13"/>
      <c r="M20" s="13"/>
      <c r="N20" s="3"/>
      <c r="O20" s="23"/>
      <c r="P20" s="18"/>
    </row>
    <row r="21" spans="1:16" ht="17.25">
      <c r="A21" s="1" t="s">
        <v>7</v>
      </c>
      <c r="B21" s="21">
        <v>-3125</v>
      </c>
      <c r="C21" s="3">
        <f>-Income!E2</f>
        <v>-3125</v>
      </c>
      <c r="E21" s="3">
        <f>B21-C21</f>
        <v>0</v>
      </c>
      <c r="F21" s="23">
        <f>C21/B21</f>
        <v>1</v>
      </c>
      <c r="J21" s="9"/>
      <c r="K21" s="24"/>
      <c r="L21" s="11"/>
      <c r="M21" s="11"/>
      <c r="N21" s="11"/>
      <c r="O21" s="23"/>
    </row>
    <row r="22" spans="1:16" ht="32.25">
      <c r="A22" s="1" t="s">
        <v>174</v>
      </c>
      <c r="B22" s="21"/>
      <c r="C22" s="3">
        <f>-Income!G7</f>
        <v>-972</v>
      </c>
      <c r="E22" s="3"/>
      <c r="F22" s="23"/>
      <c r="G22" t="s">
        <v>101</v>
      </c>
      <c r="J22" s="9"/>
      <c r="K22" s="24"/>
      <c r="L22" s="11"/>
      <c r="M22" s="11"/>
      <c r="N22" s="11"/>
      <c r="O22" s="23"/>
    </row>
    <row r="23" spans="1:16" ht="15.75">
      <c r="A23" s="1" t="s">
        <v>27</v>
      </c>
      <c r="B23" s="21">
        <v>-100</v>
      </c>
      <c r="C23" s="13">
        <f>-Income!H9</f>
        <v>-553.66999999999996</v>
      </c>
      <c r="D23" s="13"/>
      <c r="E23" s="3">
        <f>B23-C23</f>
        <v>453.66999999999996</v>
      </c>
      <c r="F23" s="23">
        <f>-E23/B23</f>
        <v>4.5366999999999997</v>
      </c>
      <c r="K23" s="25"/>
      <c r="L23" s="3"/>
      <c r="M23" s="3"/>
      <c r="N23" s="3"/>
      <c r="O23" s="23"/>
    </row>
    <row r="24" spans="1:16" ht="17.25">
      <c r="A24" s="9" t="s">
        <v>38</v>
      </c>
      <c r="B24" s="24">
        <f>SUM(B4:B23)</f>
        <v>396</v>
      </c>
      <c r="C24" s="11">
        <f>SUM(C4:C23)</f>
        <v>-7475.3600000000006</v>
      </c>
      <c r="D24" s="11">
        <f>SUM(D4:D23)</f>
        <v>4640.8100000000004</v>
      </c>
      <c r="E24" s="11">
        <f>SUM(E4:E23)</f>
        <v>2258.5499999999997</v>
      </c>
      <c r="F24" s="23"/>
      <c r="J24" s="1"/>
      <c r="K24" s="1"/>
      <c r="L24" s="7"/>
      <c r="M24" s="7"/>
      <c r="N24" s="7"/>
      <c r="O24" s="23"/>
    </row>
    <row r="25" spans="1:16" ht="15.75">
      <c r="B25" s="25"/>
      <c r="C25" s="3"/>
      <c r="D25" s="3"/>
      <c r="E25" s="3"/>
      <c r="F25" s="23"/>
      <c r="J25" s="9"/>
      <c r="K25" s="9"/>
      <c r="L25" s="10"/>
      <c r="M25" s="10"/>
      <c r="N25" s="10"/>
      <c r="O25" s="23"/>
    </row>
    <row r="26" spans="1:16" ht="17.25">
      <c r="A26" s="1" t="s">
        <v>36</v>
      </c>
      <c r="B26" s="20"/>
      <c r="C26" s="7">
        <v>0</v>
      </c>
      <c r="D26" s="7">
        <f>Expenditure!R51</f>
        <v>112.76000000000002</v>
      </c>
      <c r="E26" s="7">
        <f t="shared" ref="E26" si="5">D26-C26</f>
        <v>112.76000000000002</v>
      </c>
      <c r="F26" s="23"/>
      <c r="J26" s="3"/>
    </row>
    <row r="27" spans="1:16">
      <c r="A27" s="9" t="s">
        <v>39</v>
      </c>
      <c r="B27" s="9"/>
      <c r="C27" s="10">
        <f>C24+C26</f>
        <v>-7475.3600000000006</v>
      </c>
      <c r="D27" s="10">
        <f t="shared" ref="D27:E27" si="6">D24+D26</f>
        <v>4753.5700000000006</v>
      </c>
      <c r="E27" s="10">
        <f t="shared" si="6"/>
        <v>2371.31</v>
      </c>
      <c r="F27" s="23"/>
      <c r="N27" s="15"/>
      <c r="O27" s="15"/>
    </row>
    <row r="28" spans="1:16">
      <c r="N28" s="15"/>
      <c r="O28" s="15"/>
      <c r="P28" s="15"/>
    </row>
    <row r="32" spans="1:16">
      <c r="D32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D14"/>
    </sheetView>
  </sheetViews>
  <sheetFormatPr defaultRowHeight="15"/>
  <cols>
    <col min="1" max="1" width="22.28515625" customWidth="1"/>
    <col min="2" max="2" width="19.5703125" customWidth="1"/>
    <col min="4" max="4" width="28.42578125" customWidth="1"/>
  </cols>
  <sheetData>
    <row r="1" spans="1:8">
      <c r="A1" s="4" t="s">
        <v>40</v>
      </c>
      <c r="B1" s="4" t="s">
        <v>42</v>
      </c>
      <c r="C1" s="4" t="s">
        <v>44</v>
      </c>
      <c r="D1" s="4" t="s">
        <v>43</v>
      </c>
    </row>
    <row r="2" spans="1:8">
      <c r="A2" s="1" t="s">
        <v>41</v>
      </c>
      <c r="B2" s="16" t="s">
        <v>45</v>
      </c>
      <c r="C2" s="15">
        <v>1</v>
      </c>
      <c r="D2" t="s">
        <v>52</v>
      </c>
    </row>
    <row r="3" spans="1:8">
      <c r="A3" s="1" t="s">
        <v>46</v>
      </c>
      <c r="B3" s="16" t="s">
        <v>56</v>
      </c>
      <c r="C3" s="15">
        <v>900</v>
      </c>
      <c r="D3" t="s">
        <v>54</v>
      </c>
    </row>
    <row r="4" spans="1:8">
      <c r="A4" s="1" t="s">
        <v>47</v>
      </c>
      <c r="B4" s="17">
        <v>40330</v>
      </c>
      <c r="C4" s="15">
        <v>178</v>
      </c>
      <c r="D4" t="s">
        <v>48</v>
      </c>
    </row>
    <row r="5" spans="1:8">
      <c r="A5" s="1" t="s">
        <v>49</v>
      </c>
      <c r="B5" s="17" t="s">
        <v>50</v>
      </c>
      <c r="C5" s="15">
        <v>1000</v>
      </c>
      <c r="D5" t="s">
        <v>51</v>
      </c>
    </row>
    <row r="6" spans="1:8" ht="30">
      <c r="A6" s="1" t="s">
        <v>53</v>
      </c>
      <c r="B6" s="16">
        <v>1977</v>
      </c>
      <c r="C6" s="15">
        <v>200</v>
      </c>
      <c r="D6" t="s">
        <v>54</v>
      </c>
    </row>
    <row r="7" spans="1:8" ht="30">
      <c r="A7" s="1" t="s">
        <v>55</v>
      </c>
      <c r="B7" s="16" t="s">
        <v>56</v>
      </c>
      <c r="C7" s="28">
        <v>650</v>
      </c>
      <c r="D7" t="s">
        <v>57</v>
      </c>
    </row>
    <row r="8" spans="1:8">
      <c r="A8" s="1" t="s">
        <v>93</v>
      </c>
      <c r="B8" s="17">
        <v>42491</v>
      </c>
      <c r="C8" s="28">
        <v>250</v>
      </c>
      <c r="D8" t="s">
        <v>105</v>
      </c>
      <c r="H8" s="15">
        <f>C8</f>
        <v>250</v>
      </c>
    </row>
    <row r="9" spans="1:8">
      <c r="A9" s="1" t="s">
        <v>99</v>
      </c>
      <c r="B9" s="17">
        <v>42522</v>
      </c>
      <c r="C9" s="28">
        <v>1</v>
      </c>
      <c r="D9" t="s">
        <v>141</v>
      </c>
      <c r="E9" t="s">
        <v>100</v>
      </c>
      <c r="H9" s="15">
        <f>C9</f>
        <v>1</v>
      </c>
    </row>
    <row r="10" spans="1:8">
      <c r="A10" s="1" t="s">
        <v>94</v>
      </c>
      <c r="B10" s="17">
        <v>42491</v>
      </c>
      <c r="C10" s="28">
        <v>58</v>
      </c>
      <c r="D10" t="s">
        <v>105</v>
      </c>
      <c r="H10" s="15">
        <f t="shared" ref="H10:H13" si="0">C10</f>
        <v>58</v>
      </c>
    </row>
    <row r="11" spans="1:8">
      <c r="A11" s="1" t="s">
        <v>108</v>
      </c>
      <c r="B11" s="17">
        <v>42309</v>
      </c>
      <c r="C11" s="28">
        <v>100</v>
      </c>
      <c r="D11" t="s">
        <v>70</v>
      </c>
      <c r="H11" s="15">
        <f t="shared" si="0"/>
        <v>100</v>
      </c>
    </row>
    <row r="12" spans="1:8">
      <c r="A12" s="1" t="s">
        <v>142</v>
      </c>
      <c r="B12" s="17">
        <v>42461</v>
      </c>
      <c r="C12" s="28">
        <v>60</v>
      </c>
      <c r="D12" t="s">
        <v>105</v>
      </c>
      <c r="H12" s="15">
        <f t="shared" si="0"/>
        <v>60</v>
      </c>
    </row>
    <row r="13" spans="1:8">
      <c r="A13" s="1" t="s">
        <v>106</v>
      </c>
      <c r="B13" s="17">
        <v>42795</v>
      </c>
      <c r="C13" s="28">
        <v>1406</v>
      </c>
      <c r="D13" t="s">
        <v>126</v>
      </c>
      <c r="H13" s="15">
        <f t="shared" si="0"/>
        <v>1406</v>
      </c>
    </row>
    <row r="14" spans="1:8" ht="17.25">
      <c r="A14" s="1"/>
      <c r="C14" s="19">
        <f>SUM(C2:C13)</f>
        <v>4804</v>
      </c>
      <c r="H14" s="15">
        <f>SUM(H8:H13)</f>
        <v>1875</v>
      </c>
    </row>
  </sheetData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E12" sqref="A1:E12"/>
    </sheetView>
  </sheetViews>
  <sheetFormatPr defaultRowHeight="15"/>
  <cols>
    <col min="1" max="1" width="9.140625" style="30"/>
    <col min="2" max="2" width="15.5703125" style="29" customWidth="1"/>
    <col min="3" max="3" width="10.28515625" style="32" customWidth="1"/>
    <col min="4" max="4" width="10.42578125" style="32" customWidth="1"/>
    <col min="5" max="5" width="11.85546875" style="32" customWidth="1"/>
    <col min="6" max="6" width="46" customWidth="1"/>
    <col min="7" max="7" width="11.5703125" bestFit="1" customWidth="1"/>
    <col min="8" max="8" width="13" customWidth="1"/>
    <col min="9" max="9" width="10.5703125" bestFit="1" customWidth="1"/>
    <col min="10" max="10" width="12.42578125" customWidth="1"/>
  </cols>
  <sheetData>
    <row r="1" spans="1:10" ht="30">
      <c r="B1" s="29" t="s">
        <v>135</v>
      </c>
    </row>
    <row r="2" spans="1:10" s="4" customFormat="1" ht="31.5" customHeight="1">
      <c r="A2" s="30"/>
      <c r="B2" s="29"/>
      <c r="C2" s="30" t="s">
        <v>87</v>
      </c>
      <c r="D2" s="30" t="s">
        <v>139</v>
      </c>
      <c r="E2" s="29" t="s">
        <v>81</v>
      </c>
      <c r="J2" s="29"/>
    </row>
    <row r="3" spans="1:10" ht="45">
      <c r="A3" s="30">
        <v>1</v>
      </c>
      <c r="B3" s="29" t="s">
        <v>71</v>
      </c>
      <c r="C3" s="31">
        <v>1646</v>
      </c>
      <c r="D3" s="31">
        <f>C10</f>
        <v>2668</v>
      </c>
      <c r="E3" s="33"/>
      <c r="G3" s="3">
        <f>Reconciliation!B8+Income!I9</f>
        <v>10143.25</v>
      </c>
      <c r="H3" s="15">
        <f>2668+3125+4350</f>
        <v>10143</v>
      </c>
      <c r="I3" s="15"/>
    </row>
    <row r="4" spans="1:10">
      <c r="A4" s="30">
        <v>2</v>
      </c>
      <c r="B4" s="29" t="s">
        <v>72</v>
      </c>
      <c r="C4" s="31">
        <v>3100</v>
      </c>
      <c r="D4" s="31">
        <f>Income!I2</f>
        <v>3125</v>
      </c>
      <c r="E4" s="33">
        <f>(D4-C4)/C4</f>
        <v>8.0645161290322578E-3</v>
      </c>
      <c r="G4" s="3">
        <f>Expenditure!S51</f>
        <v>4753.5699999999988</v>
      </c>
      <c r="H4" s="15">
        <f>2377+2376</f>
        <v>4753</v>
      </c>
      <c r="I4" s="3"/>
    </row>
    <row r="5" spans="1:10" ht="30">
      <c r="A5" s="30">
        <v>3</v>
      </c>
      <c r="B5" s="29" t="s">
        <v>73</v>
      </c>
      <c r="C5" s="31">
        <v>5849.25</v>
      </c>
      <c r="D5" s="31">
        <f>Income!I9-Income!I2</f>
        <v>4350.3599999999997</v>
      </c>
      <c r="E5" s="33">
        <f>(D5-C5)/C5</f>
        <v>-0.25625336581613034</v>
      </c>
      <c r="F5" s="1"/>
      <c r="G5" s="3">
        <f>G3-G4</f>
        <v>5389.6800000000012</v>
      </c>
      <c r="H5" s="3">
        <f>H3-H4</f>
        <v>5390</v>
      </c>
      <c r="I5" s="3"/>
    </row>
    <row r="6" spans="1:10">
      <c r="A6" s="30">
        <v>4</v>
      </c>
      <c r="B6" s="29" t="s">
        <v>74</v>
      </c>
      <c r="C6" s="31">
        <v>2158.64</v>
      </c>
      <c r="D6" s="44">
        <f>Expenditure!F51+Expenditure!O51-Expenditure!O39-Expenditure!O14</f>
        <v>2377.1</v>
      </c>
      <c r="E6" s="33">
        <f>(D6-C6)/C6</f>
        <v>0.10120260905014271</v>
      </c>
      <c r="G6">
        <v>489.3</v>
      </c>
      <c r="H6" s="15">
        <v>489</v>
      </c>
    </row>
    <row r="7" spans="1:10" ht="45">
      <c r="A7" s="30">
        <v>5</v>
      </c>
      <c r="B7" s="29" t="s">
        <v>75</v>
      </c>
      <c r="C7" s="31">
        <v>0</v>
      </c>
      <c r="D7" s="31">
        <v>0</v>
      </c>
      <c r="E7" s="33"/>
      <c r="G7" s="3">
        <f>G5+G6</f>
        <v>5878.9800000000014</v>
      </c>
      <c r="H7" s="3">
        <f>H5+H6</f>
        <v>5879</v>
      </c>
    </row>
    <row r="8" spans="1:10" ht="30">
      <c r="A8" s="30">
        <v>6</v>
      </c>
      <c r="B8" s="29" t="s">
        <v>76</v>
      </c>
      <c r="C8" s="31">
        <v>5768.4600000000009</v>
      </c>
      <c r="D8" s="31">
        <f>Expenditure!S51-'External Audit Form'!D6</f>
        <v>2376.4699999999989</v>
      </c>
      <c r="E8" s="33">
        <f>(D8-C8)/C8</f>
        <v>-0.58802349327203474</v>
      </c>
      <c r="H8" s="15"/>
    </row>
    <row r="9" spans="1:10" ht="30">
      <c r="A9" s="30">
        <v>7</v>
      </c>
      <c r="B9" s="29" t="s">
        <v>77</v>
      </c>
      <c r="C9" s="31">
        <v>2668.1499999999996</v>
      </c>
      <c r="D9" s="44">
        <f>Reconciliation!B21</f>
        <v>5389.6799999999994</v>
      </c>
      <c r="E9" s="33">
        <f>(D9-C9)/C9</f>
        <v>1.0200063714558778</v>
      </c>
      <c r="H9" s="15"/>
      <c r="I9" s="15"/>
    </row>
    <row r="10" spans="1:10" ht="45">
      <c r="A10" s="30">
        <v>8</v>
      </c>
      <c r="B10" s="29" t="s">
        <v>78</v>
      </c>
      <c r="C10" s="31">
        <v>2668</v>
      </c>
      <c r="D10" s="31">
        <f>Reconciliation!B21</f>
        <v>5389.6799999999994</v>
      </c>
      <c r="E10" s="33">
        <f>(D10-C10)/C10</f>
        <v>1.0201199400299847</v>
      </c>
      <c r="H10" s="15"/>
    </row>
    <row r="11" spans="1:10" ht="75">
      <c r="A11" s="30">
        <v>9</v>
      </c>
      <c r="B11" s="29" t="s">
        <v>79</v>
      </c>
      <c r="C11" s="31">
        <v>4804</v>
      </c>
      <c r="D11" s="31">
        <v>4804</v>
      </c>
      <c r="E11" s="33">
        <f>(D11-C11)/C11</f>
        <v>0</v>
      </c>
      <c r="H11" s="15"/>
    </row>
    <row r="12" spans="1:10" ht="30">
      <c r="A12" s="30">
        <v>10</v>
      </c>
      <c r="B12" s="29" t="s">
        <v>80</v>
      </c>
      <c r="C12" s="31">
        <v>0</v>
      </c>
      <c r="D12" s="31">
        <v>0</v>
      </c>
      <c r="E12" s="33"/>
    </row>
  </sheetData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H13"/>
  <sheetViews>
    <sheetView workbookViewId="0">
      <selection activeCell="B1" sqref="B1:F13"/>
    </sheetView>
  </sheetViews>
  <sheetFormatPr defaultRowHeight="15"/>
  <cols>
    <col min="2" max="2" width="30.42578125" customWidth="1"/>
    <col min="3" max="3" width="13.42578125" customWidth="1"/>
    <col min="4" max="5" width="10.5703125" customWidth="1"/>
    <col min="6" max="6" width="30" customWidth="1"/>
    <col min="7" max="7" width="10.5703125" bestFit="1" customWidth="1"/>
  </cols>
  <sheetData>
    <row r="1" spans="2:8">
      <c r="B1" s="4" t="s">
        <v>128</v>
      </c>
    </row>
    <row r="2" spans="2:8">
      <c r="C2" s="22" t="s">
        <v>110</v>
      </c>
      <c r="D2" s="22" t="s">
        <v>87</v>
      </c>
      <c r="E2" s="22" t="s">
        <v>139</v>
      </c>
      <c r="F2" s="4" t="s">
        <v>62</v>
      </c>
    </row>
    <row r="3" spans="2:8">
      <c r="B3" s="12" t="s">
        <v>83</v>
      </c>
      <c r="C3" s="3"/>
      <c r="D3" s="3">
        <v>583</v>
      </c>
      <c r="E3" s="3">
        <v>0</v>
      </c>
      <c r="F3" t="s">
        <v>112</v>
      </c>
    </row>
    <row r="4" spans="2:8">
      <c r="B4" s="1" t="s">
        <v>27</v>
      </c>
      <c r="C4" s="3">
        <v>63.29</v>
      </c>
      <c r="D4" s="3">
        <v>55.31</v>
      </c>
      <c r="E4" s="3">
        <f>Income!H3</f>
        <v>553.66999999999996</v>
      </c>
    </row>
    <row r="5" spans="2:8">
      <c r="B5" s="1" t="s">
        <v>98</v>
      </c>
      <c r="C5" s="3"/>
      <c r="D5" s="3">
        <v>600</v>
      </c>
      <c r="E5" s="3">
        <v>0</v>
      </c>
      <c r="F5" t="s">
        <v>112</v>
      </c>
    </row>
    <row r="6" spans="2:8">
      <c r="B6" s="1" t="s">
        <v>97</v>
      </c>
      <c r="C6" s="3"/>
      <c r="D6" s="3">
        <v>1500</v>
      </c>
      <c r="E6" s="3">
        <v>0</v>
      </c>
      <c r="F6" t="s">
        <v>112</v>
      </c>
    </row>
    <row r="7" spans="2:8" ht="30">
      <c r="B7" s="1" t="s">
        <v>109</v>
      </c>
      <c r="C7" s="3">
        <v>330.94</v>
      </c>
      <c r="D7" s="3">
        <v>330.94</v>
      </c>
      <c r="E7" s="3">
        <f>Income!F9</f>
        <v>330.94</v>
      </c>
    </row>
    <row r="8" spans="2:8" ht="33" customHeight="1">
      <c r="B8" s="38" t="s">
        <v>103</v>
      </c>
      <c r="C8" s="39"/>
      <c r="D8" s="39">
        <v>780</v>
      </c>
      <c r="E8" s="39">
        <f>Income!G6</f>
        <v>2460</v>
      </c>
      <c r="F8" s="38" t="s">
        <v>183</v>
      </c>
    </row>
    <row r="9" spans="2:8">
      <c r="B9" s="1" t="s">
        <v>106</v>
      </c>
      <c r="C9" s="3"/>
      <c r="D9" s="3">
        <v>2000</v>
      </c>
      <c r="E9" s="3">
        <v>0</v>
      </c>
      <c r="F9" t="s">
        <v>112</v>
      </c>
    </row>
    <row r="10" spans="2:8">
      <c r="B10" s="1" t="s">
        <v>111</v>
      </c>
      <c r="C10" s="3">
        <v>150</v>
      </c>
      <c r="D10" s="3">
        <v>0</v>
      </c>
      <c r="E10" s="3">
        <v>0</v>
      </c>
    </row>
    <row r="11" spans="2:8" ht="30">
      <c r="B11" s="1" t="s">
        <v>172</v>
      </c>
      <c r="C11" s="3"/>
      <c r="D11" s="3"/>
      <c r="E11" s="3">
        <f>Income!G7</f>
        <v>972</v>
      </c>
      <c r="F11" t="s">
        <v>112</v>
      </c>
    </row>
    <row r="12" spans="2:8">
      <c r="B12" s="1" t="s">
        <v>184</v>
      </c>
      <c r="C12" s="3"/>
      <c r="D12" s="3"/>
      <c r="E12" s="3">
        <f>Income!G4</f>
        <v>33.75</v>
      </c>
    </row>
    <row r="13" spans="2:8">
      <c r="C13" s="6">
        <f>SUM(C3:C12)</f>
        <v>544.23</v>
      </c>
      <c r="D13" s="6">
        <f>SUM(D3:D12)</f>
        <v>5849.25</v>
      </c>
      <c r="E13" s="6">
        <f>SUM(E3:E12)</f>
        <v>4350.3599999999997</v>
      </c>
      <c r="G13" s="3"/>
      <c r="H13" s="4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G5"/>
  <sheetViews>
    <sheetView tabSelected="1" workbookViewId="0">
      <selection activeCell="B1" sqref="B1:J5"/>
    </sheetView>
  </sheetViews>
  <sheetFormatPr defaultRowHeight="15"/>
  <cols>
    <col min="2" max="2" width="30.28515625" customWidth="1"/>
    <col min="3" max="3" width="10.85546875" customWidth="1"/>
    <col min="4" max="5" width="10.5703125" bestFit="1" customWidth="1"/>
  </cols>
  <sheetData>
    <row r="1" spans="2:7">
      <c r="B1" s="4" t="s">
        <v>129</v>
      </c>
    </row>
    <row r="2" spans="2:7">
      <c r="C2" s="4" t="s">
        <v>67</v>
      </c>
      <c r="D2" s="4" t="s">
        <v>87</v>
      </c>
      <c r="E2" s="4" t="s">
        <v>139</v>
      </c>
    </row>
    <row r="3" spans="2:7">
      <c r="B3" t="s">
        <v>120</v>
      </c>
      <c r="C3" s="3">
        <v>1808.64</v>
      </c>
      <c r="D3" s="3">
        <f>C3</f>
        <v>1808.64</v>
      </c>
      <c r="E3" s="3">
        <f>Expenditure!F51</f>
        <v>1814.6000000000001</v>
      </c>
    </row>
    <row r="4" spans="2:7">
      <c r="B4" t="s">
        <v>119</v>
      </c>
      <c r="C4" s="3">
        <v>0</v>
      </c>
      <c r="D4" s="3">
        <v>350</v>
      </c>
      <c r="E4" s="3">
        <f>'External Audit Form'!D6-'Line 4'!E3</f>
        <v>562.49999999999977</v>
      </c>
      <c r="F4" t="s">
        <v>187</v>
      </c>
    </row>
    <row r="5" spans="2:7">
      <c r="C5" s="6">
        <f>SUM(C3:C4)</f>
        <v>1808.64</v>
      </c>
      <c r="D5" s="6">
        <f>SUM(D3:D4)</f>
        <v>2158.6400000000003</v>
      </c>
      <c r="E5" s="6">
        <f>SUM(E3:E4)</f>
        <v>2377.1</v>
      </c>
      <c r="F5" s="3">
        <f>E5-D5</f>
        <v>218.45999999999958</v>
      </c>
      <c r="G5" s="43">
        <f>F5/D5</f>
        <v>0.10120260905014247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H21"/>
  <sheetViews>
    <sheetView workbookViewId="0">
      <selection activeCell="B1" sqref="B1:K17"/>
    </sheetView>
  </sheetViews>
  <sheetFormatPr defaultRowHeight="15"/>
  <cols>
    <col min="2" max="2" width="26.28515625" customWidth="1"/>
    <col min="3" max="3" width="11.28515625" customWidth="1"/>
    <col min="4" max="4" width="10.5703125" bestFit="1" customWidth="1"/>
    <col min="5" max="5" width="10.5703125" customWidth="1"/>
    <col min="6" max="6" width="27.140625" customWidth="1"/>
    <col min="7" max="7" width="10.5703125" bestFit="1" customWidth="1"/>
  </cols>
  <sheetData>
    <row r="1" spans="2:6">
      <c r="B1" s="4" t="s">
        <v>130</v>
      </c>
    </row>
    <row r="2" spans="2:6">
      <c r="C2" s="4" t="s">
        <v>67</v>
      </c>
      <c r="D2" s="4" t="s">
        <v>87</v>
      </c>
      <c r="E2" s="4" t="s">
        <v>139</v>
      </c>
    </row>
    <row r="3" spans="2:6">
      <c r="B3" s="40" t="s">
        <v>113</v>
      </c>
      <c r="C3" s="3">
        <v>65.28</v>
      </c>
      <c r="D3" s="3">
        <v>0</v>
      </c>
      <c r="E3" s="3">
        <v>0</v>
      </c>
    </row>
    <row r="4" spans="2:6">
      <c r="B4" s="40" t="s">
        <v>29</v>
      </c>
      <c r="C4" s="3">
        <v>58.25</v>
      </c>
      <c r="D4" s="3">
        <v>60.45</v>
      </c>
      <c r="E4" s="3">
        <f>Expenditure!H51</f>
        <v>61.75</v>
      </c>
    </row>
    <row r="5" spans="2:6">
      <c r="B5" s="40" t="s">
        <v>30</v>
      </c>
      <c r="C5" s="3">
        <v>84</v>
      </c>
      <c r="D5" s="3">
        <v>88</v>
      </c>
      <c r="E5" s="3">
        <f>Expenditure!I51</f>
        <v>136.86000000000001</v>
      </c>
      <c r="F5" t="s">
        <v>190</v>
      </c>
    </row>
    <row r="6" spans="2:6">
      <c r="B6" s="40" t="s">
        <v>31</v>
      </c>
      <c r="C6" s="3">
        <v>378.29</v>
      </c>
      <c r="D6" s="3">
        <v>339.98</v>
      </c>
      <c r="E6" s="3">
        <f>Expenditure!J51</f>
        <v>347.74</v>
      </c>
    </row>
    <row r="7" spans="2:6">
      <c r="B7" s="41" t="s">
        <v>32</v>
      </c>
      <c r="C7" s="39">
        <v>0</v>
      </c>
      <c r="D7" s="39">
        <v>250</v>
      </c>
      <c r="E7" s="39">
        <f>Expenditure!K51</f>
        <v>275</v>
      </c>
      <c r="F7" s="38"/>
    </row>
    <row r="8" spans="2:6">
      <c r="B8" s="40" t="s">
        <v>114</v>
      </c>
      <c r="C8" s="3">
        <v>35</v>
      </c>
      <c r="D8" s="3">
        <v>35</v>
      </c>
      <c r="E8" s="3">
        <f>Expenditure!L51</f>
        <v>35</v>
      </c>
    </row>
    <row r="9" spans="2:6">
      <c r="B9" s="40" t="s">
        <v>115</v>
      </c>
      <c r="C9" s="3">
        <v>0</v>
      </c>
      <c r="D9" s="3">
        <v>406.96999999999997</v>
      </c>
      <c r="E9" s="3">
        <f>Expenditure!M51</f>
        <v>79.16</v>
      </c>
      <c r="F9" t="s">
        <v>112</v>
      </c>
    </row>
    <row r="10" spans="2:6">
      <c r="B10" s="40" t="s">
        <v>116</v>
      </c>
      <c r="C10" s="3">
        <v>0</v>
      </c>
      <c r="D10" s="3">
        <v>1115.4000000000001</v>
      </c>
      <c r="E10" s="3">
        <v>0</v>
      </c>
    </row>
    <row r="11" spans="2:6">
      <c r="B11" s="40" t="s">
        <v>117</v>
      </c>
      <c r="C11" s="3">
        <v>0</v>
      </c>
      <c r="D11" s="3">
        <v>600</v>
      </c>
      <c r="E11" s="3">
        <v>0</v>
      </c>
      <c r="F11" t="s">
        <v>188</v>
      </c>
    </row>
    <row r="12" spans="2:6" ht="45">
      <c r="B12" s="41" t="s">
        <v>118</v>
      </c>
      <c r="C12" s="39">
        <v>0</v>
      </c>
      <c r="D12" s="39">
        <v>166.42</v>
      </c>
      <c r="E12" s="42">
        <f>Expenditure!O51-'Line 4'!E4</f>
        <v>86.440000000000282</v>
      </c>
      <c r="F12" s="38" t="s">
        <v>185</v>
      </c>
    </row>
    <row r="13" spans="2:6">
      <c r="B13" s="40" t="s">
        <v>106</v>
      </c>
      <c r="C13" s="3">
        <v>0</v>
      </c>
      <c r="D13" s="3">
        <v>1406</v>
      </c>
      <c r="E13" s="3">
        <f>Expenditure!P15+Expenditure!P16+Expenditure!Q44</f>
        <v>180</v>
      </c>
      <c r="F13" t="s">
        <v>112</v>
      </c>
    </row>
    <row r="14" spans="2:6">
      <c r="B14" s="40" t="s">
        <v>155</v>
      </c>
      <c r="C14" s="3">
        <v>0</v>
      </c>
      <c r="D14" s="3">
        <v>0</v>
      </c>
      <c r="E14" s="3">
        <f>Expenditure!N51</f>
        <v>189.97</v>
      </c>
      <c r="F14" t="s">
        <v>112</v>
      </c>
    </row>
    <row r="15" spans="2:6">
      <c r="B15" s="40" t="s">
        <v>33</v>
      </c>
      <c r="C15" s="3">
        <v>892.56999999999994</v>
      </c>
      <c r="D15" s="3">
        <v>746.56999999999971</v>
      </c>
      <c r="E15" s="3">
        <f>E21-E20</f>
        <v>871.78999999999974</v>
      </c>
      <c r="F15" t="s">
        <v>189</v>
      </c>
    </row>
    <row r="16" spans="2:6">
      <c r="B16" s="40" t="s">
        <v>36</v>
      </c>
      <c r="C16" s="3">
        <v>55.31</v>
      </c>
      <c r="D16" s="3">
        <v>553.66999999999996</v>
      </c>
      <c r="E16" s="3">
        <f>Expenditure!R51</f>
        <v>112.76000000000002</v>
      </c>
    </row>
    <row r="17" spans="3:8">
      <c r="C17" s="6">
        <f>SUM(C3:C16)</f>
        <v>1568.6999999999998</v>
      </c>
      <c r="D17" s="6">
        <f>SUM(D3:D16)</f>
        <v>5768.46</v>
      </c>
      <c r="E17" s="6">
        <f>SUM(E3:E16)</f>
        <v>2376.4700000000003</v>
      </c>
      <c r="G17" s="3">
        <f>E17-D17</f>
        <v>-3391.99</v>
      </c>
      <c r="H17" s="43">
        <f>G17/D17</f>
        <v>-0.5880234932720344</v>
      </c>
    </row>
    <row r="20" spans="3:8">
      <c r="E20">
        <v>1494.68</v>
      </c>
    </row>
    <row r="21" spans="3:8">
      <c r="E21">
        <v>2366.4699999999998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Income</vt:lpstr>
      <vt:lpstr>Expenditure</vt:lpstr>
      <vt:lpstr>Reconciliation</vt:lpstr>
      <vt:lpstr>Budget Analysis</vt:lpstr>
      <vt:lpstr>Asset Register</vt:lpstr>
      <vt:lpstr>External Audit Form</vt:lpstr>
      <vt:lpstr>Line 3</vt:lpstr>
      <vt:lpstr>Line 4</vt:lpstr>
      <vt:lpstr>Line 6</vt:lpstr>
      <vt:lpstr>Line 7</vt:lpstr>
      <vt:lpstr>VAT</vt:lpstr>
      <vt:lpstr>Sheet1</vt:lpstr>
      <vt:lpstr>'Budget Analysis'!Print_Area</vt:lpstr>
      <vt:lpstr>Expenditure!Print_Area</vt:lpstr>
      <vt:lpstr>'External Audit Form'!Print_Area</vt:lpstr>
      <vt:lpstr>Income!Print_Area</vt:lpstr>
      <vt:lpstr>'Line 3'!Print_Area</vt:lpstr>
      <vt:lpstr>'Line 4'!Print_Area</vt:lpstr>
      <vt:lpstr>'Line 6'!Print_Area</vt:lpstr>
      <vt:lpstr>'Line 7'!Print_Area</vt:lpstr>
      <vt:lpstr>VAT!Print_Area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MUSSET</dc:creator>
  <cp:lastModifiedBy>Little Braxted Parish Council</cp:lastModifiedBy>
  <cp:lastPrinted>2018-05-17T17:34:18Z</cp:lastPrinted>
  <dcterms:created xsi:type="dcterms:W3CDTF">2013-01-15T09:01:08Z</dcterms:created>
  <dcterms:modified xsi:type="dcterms:W3CDTF">2018-05-17T17:34:21Z</dcterms:modified>
</cp:coreProperties>
</file>